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110" yWindow="30" windowWidth="19050" windowHeight="11370" tabRatio="862" firstSheet="1" activeTab="1"/>
  </bookViews>
  <sheets>
    <sheet name="Quarterly Report" sheetId="30" state="hidden" r:id="rId1"/>
    <sheet name="GMF MONTHLY INVESTOR REPORT" sheetId="39" r:id="rId2"/>
    <sheet name="May 12 Bonds to be called" sheetId="37" state="hidden" r:id="rId3"/>
    <sheet name="GMF 09 GBP Amortisation" sheetId="35" state="hidden" r:id="rId4"/>
    <sheet name="Notices" sheetId="28" state="hidden" r:id="rId5"/>
    <sheet name="Recon" sheetId="32" state="hidden" r:id="rId6"/>
    <sheet name="New Loans Additions" sheetId="6"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_xlnm._FilterDatabase" localSheetId="3" hidden="1">'GMF 09 GBP Amortisation'!$A$2:$F$42</definedName>
    <definedName name="Actual_Outstanding_gmf2" localSheetId="2">#REF!</definedName>
    <definedName name="Actual_Outstanding_gmf2">#REF!</definedName>
    <definedName name="Actual_Outstanding_gmf3">#REF!</definedName>
    <definedName name="AvaPrincipal" localSheetId="1">'[1]Available receipts'!$C$70</definedName>
    <definedName name="GBP_GMF2_LN_Outstanding" localSheetId="2">#REF!</definedName>
    <definedName name="GBP_GMF2_LN_Outstanding">#REF!</definedName>
    <definedName name="GBP_GMF3_LN_Outstanding" localSheetId="2">#REF!</definedName>
    <definedName name="GBP_GMF3_LN_Outstanding">#REF!</definedName>
    <definedName name="GMF09_Prin_due" localSheetId="2">#REF!</definedName>
    <definedName name="GMF09_Prin_due">'GMF 09 GBP Amortisation'!$A$59:$G$110</definedName>
    <definedName name="GMF2_NoteClass" localSheetId="2">#REF!</definedName>
    <definedName name="GMF2_NoteClass">#REF!</definedName>
    <definedName name="GMF3_NoteClass" localSheetId="2">#REF!</definedName>
    <definedName name="GMF3_NoteClass">#REF!</definedName>
    <definedName name="Note_Schedule">#REF!</definedName>
    <definedName name="_xlnm.Print_Area" localSheetId="1">'GMF MONTHLY INVESTOR REPORT'!$A$1:$L$873</definedName>
    <definedName name="_xlnm.Print_Area" localSheetId="2">'May 12 Bonds to be called'!$A$1:$J$42</definedName>
    <definedName name="_xlnm.Print_Area" localSheetId="0">'Quarterly Report'!$A$1:$M$705</definedName>
    <definedName name="_xlnm.Print_Area" localSheetId="5">Recon!$A$1:$K$29</definedName>
  </definedNames>
  <calcPr calcId="125725"/>
  <pivotCaches>
    <pivotCache cacheId="0" r:id="rId15"/>
  </pivotCaches>
</workbook>
</file>

<file path=xl/calcChain.xml><?xml version="1.0" encoding="utf-8"?>
<calcChain xmlns="http://schemas.openxmlformats.org/spreadsheetml/2006/main">
  <c r="C26" i="37"/>
  <c r="D26"/>
  <c r="B26"/>
  <c r="C25"/>
  <c r="D25"/>
  <c r="B25"/>
  <c r="C24"/>
  <c r="D24"/>
  <c r="B24"/>
  <c r="C23"/>
  <c r="D23"/>
  <c r="B23"/>
  <c r="C22"/>
  <c r="D22"/>
  <c r="B22"/>
  <c r="D19"/>
  <c r="C19"/>
  <c r="B19"/>
  <c r="D12"/>
  <c r="B32" s="1"/>
  <c r="C12"/>
  <c r="B40" s="1"/>
  <c r="B12"/>
  <c r="B37" s="1"/>
  <c r="D9"/>
  <c r="C9"/>
  <c r="B9"/>
  <c r="D637" i="30"/>
  <c r="E637"/>
  <c r="F637"/>
  <c r="G640"/>
  <c r="G641"/>
  <c r="D643"/>
  <c r="E643"/>
  <c r="F643"/>
  <c r="G643"/>
  <c r="D645"/>
  <c r="E645"/>
  <c r="F645"/>
  <c r="G645"/>
  <c r="D648"/>
  <c r="E648"/>
  <c r="F648"/>
  <c r="G648"/>
  <c r="D649"/>
  <c r="E649"/>
  <c r="F649"/>
  <c r="D650"/>
  <c r="E650"/>
  <c r="D651"/>
  <c r="E651"/>
  <c r="F651"/>
  <c r="G651"/>
  <c r="D652"/>
  <c r="E652"/>
  <c r="D653"/>
  <c r="E653"/>
  <c r="D654"/>
  <c r="E654"/>
  <c r="F654"/>
  <c r="G654"/>
  <c r="C13" i="32"/>
  <c r="B3"/>
  <c r="D357" i="30"/>
  <c r="C357"/>
  <c r="D353"/>
  <c r="D352"/>
  <c r="C353"/>
  <c r="C352"/>
  <c r="D697"/>
  <c r="D696"/>
  <c r="D695"/>
  <c r="D368"/>
  <c r="D367"/>
  <c r="C368"/>
  <c r="C367"/>
  <c r="B368"/>
  <c r="B367"/>
  <c r="F462"/>
  <c r="F461"/>
  <c r="F460"/>
  <c r="F459"/>
  <c r="F458"/>
  <c r="F454"/>
  <c r="F453"/>
  <c r="F452"/>
  <c r="F451"/>
  <c r="F450"/>
  <c r="C430"/>
  <c r="C429"/>
  <c r="C428"/>
  <c r="C426"/>
  <c r="C423"/>
  <c r="C422"/>
  <c r="C421"/>
  <c r="C427"/>
  <c r="C424"/>
  <c r="C697"/>
  <c r="C696"/>
  <c r="C695"/>
  <c r="B697"/>
  <c r="B696"/>
  <c r="B695"/>
  <c r="B693"/>
  <c r="E462"/>
  <c r="E461"/>
  <c r="E460"/>
  <c r="E459"/>
  <c r="E458"/>
  <c r="E454"/>
  <c r="E453"/>
  <c r="E452"/>
  <c r="E451"/>
  <c r="E450"/>
  <c r="D462"/>
  <c r="D461"/>
  <c r="D460"/>
  <c r="D459"/>
  <c r="D458"/>
  <c r="D454"/>
  <c r="D453"/>
  <c r="D452"/>
  <c r="D451"/>
  <c r="D450"/>
  <c r="J368"/>
  <c r="J367"/>
  <c r="I368"/>
  <c r="I367"/>
  <c r="H368"/>
  <c r="H367"/>
  <c r="G368"/>
  <c r="G367"/>
  <c r="F368"/>
  <c r="F367"/>
  <c r="E368"/>
  <c r="E367"/>
  <c r="C53"/>
  <c r="C52"/>
  <c r="C49"/>
  <c r="C48"/>
  <c r="C47"/>
  <c r="C46"/>
  <c r="C45"/>
  <c r="C44"/>
  <c r="D9"/>
  <c r="G611" s="1"/>
  <c r="D729"/>
  <c r="D356"/>
  <c r="C356"/>
  <c r="C42"/>
  <c r="C43"/>
  <c r="C41"/>
  <c r="B666"/>
  <c r="C51"/>
  <c r="B694"/>
  <c r="C74" i="35"/>
  <c r="I74"/>
  <c r="Q74" s="1"/>
  <c r="I610" i="30"/>
  <c r="J610"/>
  <c r="K610"/>
  <c r="I614"/>
  <c r="K614"/>
  <c r="G621"/>
  <c r="H621"/>
  <c r="I621"/>
  <c r="J621"/>
  <c r="G622"/>
  <c r="H622"/>
  <c r="I622"/>
  <c r="J622"/>
  <c r="K622"/>
  <c r="H583"/>
  <c r="G593"/>
  <c r="H593"/>
  <c r="I593"/>
  <c r="J593"/>
  <c r="K593"/>
  <c r="G594"/>
  <c r="H594"/>
  <c r="I594"/>
  <c r="J594"/>
  <c r="K594"/>
  <c r="B9"/>
  <c r="H555"/>
  <c r="G565"/>
  <c r="H565"/>
  <c r="I565"/>
  <c r="G566"/>
  <c r="H566"/>
  <c r="I566"/>
  <c r="J566"/>
  <c r="K566"/>
  <c r="G527"/>
  <c r="I527"/>
  <c r="G537"/>
  <c r="J537"/>
  <c r="G538"/>
  <c r="H538"/>
  <c r="I538"/>
  <c r="J538"/>
  <c r="L611"/>
  <c r="F611"/>
  <c r="E611"/>
  <c r="G53" i="35"/>
  <c r="G111" s="1"/>
  <c r="C10" i="30"/>
  <c r="C9"/>
  <c r="I65" i="35"/>
  <c r="Q65"/>
  <c r="D694" i="30"/>
  <c r="B683"/>
  <c r="U60" i="35"/>
  <c r="U61"/>
  <c r="V60"/>
  <c r="V61"/>
  <c r="T60"/>
  <c r="T62"/>
  <c r="S60"/>
  <c r="S69"/>
  <c r="B74"/>
  <c r="J74"/>
  <c r="R74" s="1"/>
  <c r="B65"/>
  <c r="J65" s="1"/>
  <c r="R65" s="1"/>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60"/>
  <c r="I61"/>
  <c r="Q61" s="1"/>
  <c r="I62"/>
  <c r="Q62" s="1"/>
  <c r="I63"/>
  <c r="Q63" s="1"/>
  <c r="I64"/>
  <c r="Q64" s="1"/>
  <c r="I66"/>
  <c r="Q66" s="1"/>
  <c r="I67"/>
  <c r="Q67" s="1"/>
  <c r="I68"/>
  <c r="Q68" s="1"/>
  <c r="I69"/>
  <c r="Q69" s="1"/>
  <c r="I70"/>
  <c r="Q70" s="1"/>
  <c r="I71"/>
  <c r="Q71" s="1"/>
  <c r="I72"/>
  <c r="Q72" s="1"/>
  <c r="I73"/>
  <c r="Q73" s="1"/>
  <c r="I75"/>
  <c r="Q75" s="1"/>
  <c r="I76"/>
  <c r="Q76" s="1"/>
  <c r="I77"/>
  <c r="Q77" s="1"/>
  <c r="I78"/>
  <c r="Q78" s="1"/>
  <c r="I79"/>
  <c r="Q79" s="1"/>
  <c r="I80"/>
  <c r="Q80" s="1"/>
  <c r="I81"/>
  <c r="Q81" s="1"/>
  <c r="I82"/>
  <c r="Q82" s="1"/>
  <c r="I83"/>
  <c r="Q83" s="1"/>
  <c r="I84"/>
  <c r="Q84" s="1"/>
  <c r="I85"/>
  <c r="Q85" s="1"/>
  <c r="I86"/>
  <c r="Q86" s="1"/>
  <c r="I87"/>
  <c r="Q87" s="1"/>
  <c r="I88"/>
  <c r="Q88" s="1"/>
  <c r="I89"/>
  <c r="Q89" s="1"/>
  <c r="I90"/>
  <c r="Q90" s="1"/>
  <c r="I91"/>
  <c r="Q91" s="1"/>
  <c r="I92"/>
  <c r="Q92" s="1"/>
  <c r="I93"/>
  <c r="Q93" s="1"/>
  <c r="I94"/>
  <c r="Q94" s="1"/>
  <c r="I95"/>
  <c r="Q95" s="1"/>
  <c r="I96"/>
  <c r="Q96" s="1"/>
  <c r="I97"/>
  <c r="Q97" s="1"/>
  <c r="I98"/>
  <c r="Q98" s="1"/>
  <c r="I99"/>
  <c r="Q99" s="1"/>
  <c r="I100"/>
  <c r="Q100" s="1"/>
  <c r="I101"/>
  <c r="Q101" s="1"/>
  <c r="I102"/>
  <c r="Q102" s="1"/>
  <c r="I103"/>
  <c r="Q103" s="1"/>
  <c r="I104"/>
  <c r="Q104" s="1"/>
  <c r="I105"/>
  <c r="Q105" s="1"/>
  <c r="I106"/>
  <c r="Q106" s="1"/>
  <c r="I107"/>
  <c r="Q107" s="1"/>
  <c r="I108"/>
  <c r="Q108" s="1"/>
  <c r="I109"/>
  <c r="Q109" s="1"/>
  <c r="I110"/>
  <c r="Q110" s="1"/>
  <c r="I111"/>
  <c r="Q111" s="1"/>
  <c r="J111"/>
  <c r="R111" s="1"/>
  <c r="I60"/>
  <c r="Q60" s="1"/>
  <c r="B295" i="30"/>
  <c r="B10"/>
  <c r="D10"/>
  <c r="D111" i="35"/>
  <c r="E111"/>
  <c r="F111"/>
  <c r="C111"/>
  <c r="B64"/>
  <c r="J64" s="1"/>
  <c r="R64" s="1"/>
  <c r="B41" i="6"/>
  <c r="B43" s="1"/>
  <c r="B8"/>
  <c r="B9" s="1"/>
  <c r="F11" s="1"/>
  <c r="A17"/>
  <c r="A18"/>
  <c r="B20"/>
  <c r="B32"/>
  <c r="B33" s="1"/>
  <c r="B54"/>
  <c r="B57"/>
  <c r="B63"/>
  <c r="B72"/>
  <c r="B77"/>
  <c r="B2" i="32"/>
  <c r="C2"/>
  <c r="C3"/>
  <c r="D3" s="1"/>
  <c r="B4"/>
  <c r="C4"/>
  <c r="B8"/>
  <c r="C12"/>
  <c r="C15"/>
  <c r="C16"/>
  <c r="C17"/>
  <c r="C19"/>
  <c r="C20"/>
  <c r="C22"/>
  <c r="C23"/>
  <c r="C25"/>
  <c r="C26"/>
  <c r="B33"/>
  <c r="C33"/>
  <c r="B34"/>
  <c r="C34"/>
  <c r="B35"/>
  <c r="D35" s="1"/>
  <c r="B36"/>
  <c r="C36"/>
  <c r="B37"/>
  <c r="H37" s="1"/>
  <c r="C37"/>
  <c r="B38"/>
  <c r="H38" s="1"/>
  <c r="C38"/>
  <c r="B39"/>
  <c r="H39" s="1"/>
  <c r="C39"/>
  <c r="B40"/>
  <c r="D40" s="1"/>
  <c r="B41"/>
  <c r="C41"/>
  <c r="B42"/>
  <c r="H42" s="1"/>
  <c r="C42"/>
  <c r="D42" s="1"/>
  <c r="K42" s="1"/>
  <c r="B43"/>
  <c r="D43" s="1"/>
  <c r="B44"/>
  <c r="H44" s="1"/>
  <c r="C44"/>
  <c r="B45"/>
  <c r="C45"/>
  <c r="B46"/>
  <c r="D46" s="1"/>
  <c r="B47"/>
  <c r="C47"/>
  <c r="B48"/>
  <c r="C48"/>
  <c r="B49"/>
  <c r="D49" s="1"/>
  <c r="B3" i="35"/>
  <c r="G3"/>
  <c r="B4"/>
  <c r="G4"/>
  <c r="B5"/>
  <c r="G5"/>
  <c r="B6"/>
  <c r="G6"/>
  <c r="B7"/>
  <c r="G7"/>
  <c r="B8"/>
  <c r="G8"/>
  <c r="B9"/>
  <c r="G9"/>
  <c r="B10"/>
  <c r="G10"/>
  <c r="B11"/>
  <c r="G11"/>
  <c r="B12"/>
  <c r="G12"/>
  <c r="B13"/>
  <c r="G13"/>
  <c r="B14"/>
  <c r="G14"/>
  <c r="B15"/>
  <c r="G15"/>
  <c r="B16"/>
  <c r="G16"/>
  <c r="B17"/>
  <c r="G17"/>
  <c r="B18"/>
  <c r="G18"/>
  <c r="B19"/>
  <c r="G19"/>
  <c r="B20"/>
  <c r="G20"/>
  <c r="B21"/>
  <c r="G21"/>
  <c r="B22"/>
  <c r="G22"/>
  <c r="B23"/>
  <c r="G23"/>
  <c r="B24"/>
  <c r="G24"/>
  <c r="B25"/>
  <c r="G25"/>
  <c r="B26"/>
  <c r="G26"/>
  <c r="B27"/>
  <c r="G27"/>
  <c r="B28"/>
  <c r="G28"/>
  <c r="B29"/>
  <c r="G29"/>
  <c r="B30"/>
  <c r="G30"/>
  <c r="B31"/>
  <c r="G31"/>
  <c r="B32"/>
  <c r="G32"/>
  <c r="B33"/>
  <c r="G33"/>
  <c r="B34"/>
  <c r="G34"/>
  <c r="B35"/>
  <c r="G35"/>
  <c r="B36"/>
  <c r="G36"/>
  <c r="B37"/>
  <c r="G37"/>
  <c r="B38"/>
  <c r="G38"/>
  <c r="B39"/>
  <c r="G39"/>
  <c r="B40"/>
  <c r="G40"/>
  <c r="B41"/>
  <c r="G41"/>
  <c r="B42"/>
  <c r="G42"/>
  <c r="B43"/>
  <c r="G43"/>
  <c r="B44"/>
  <c r="G44"/>
  <c r="B45"/>
  <c r="G45"/>
  <c r="B46"/>
  <c r="G46"/>
  <c r="B47"/>
  <c r="G47"/>
  <c r="B48"/>
  <c r="G48"/>
  <c r="B49"/>
  <c r="G49"/>
  <c r="B50"/>
  <c r="G50"/>
  <c r="B51"/>
  <c r="G51"/>
  <c r="B52"/>
  <c r="G52"/>
  <c r="G110" s="1"/>
  <c r="B53"/>
  <c r="C59"/>
  <c r="D59"/>
  <c r="E59"/>
  <c r="F59"/>
  <c r="B60"/>
  <c r="J60" s="1"/>
  <c r="R60" s="1"/>
  <c r="G60"/>
  <c r="B61"/>
  <c r="J61" s="1"/>
  <c r="R61" s="1"/>
  <c r="C61"/>
  <c r="D61"/>
  <c r="E61"/>
  <c r="F61"/>
  <c r="B62"/>
  <c r="J62" s="1"/>
  <c r="R62" s="1"/>
  <c r="C62"/>
  <c r="D62"/>
  <c r="E62"/>
  <c r="F62"/>
  <c r="B63"/>
  <c r="J63" s="1"/>
  <c r="R63" s="1"/>
  <c r="C63"/>
  <c r="D63"/>
  <c r="E63"/>
  <c r="F63"/>
  <c r="C64"/>
  <c r="D64"/>
  <c r="E64"/>
  <c r="F64"/>
  <c r="C65"/>
  <c r="D65"/>
  <c r="E65"/>
  <c r="F65"/>
  <c r="B66"/>
  <c r="J66" s="1"/>
  <c r="R66" s="1"/>
  <c r="C66"/>
  <c r="D66"/>
  <c r="E66"/>
  <c r="F66"/>
  <c r="B67"/>
  <c r="J67" s="1"/>
  <c r="R67" s="1"/>
  <c r="C67"/>
  <c r="D67"/>
  <c r="E67"/>
  <c r="F67"/>
  <c r="B68"/>
  <c r="J68" s="1"/>
  <c r="R68" s="1"/>
  <c r="C68"/>
  <c r="D68"/>
  <c r="E68"/>
  <c r="F68"/>
  <c r="B69"/>
  <c r="J69" s="1"/>
  <c r="R69" s="1"/>
  <c r="C69"/>
  <c r="D69"/>
  <c r="E69"/>
  <c r="F69"/>
  <c r="B70"/>
  <c r="J70" s="1"/>
  <c r="R70" s="1"/>
  <c r="C70"/>
  <c r="D70"/>
  <c r="E70"/>
  <c r="F70"/>
  <c r="B71"/>
  <c r="J71" s="1"/>
  <c r="R71" s="1"/>
  <c r="C71"/>
  <c r="D71"/>
  <c r="E71"/>
  <c r="F71"/>
  <c r="B72"/>
  <c r="J72" s="1"/>
  <c r="R72" s="1"/>
  <c r="C72"/>
  <c r="D72"/>
  <c r="E72"/>
  <c r="F72"/>
  <c r="B73"/>
  <c r="J73" s="1"/>
  <c r="R73" s="1"/>
  <c r="C73"/>
  <c r="D73"/>
  <c r="E73"/>
  <c r="F73"/>
  <c r="D74"/>
  <c r="E74"/>
  <c r="F74"/>
  <c r="B75"/>
  <c r="J75" s="1"/>
  <c r="R75" s="1"/>
  <c r="C75"/>
  <c r="D75"/>
  <c r="E75"/>
  <c r="F75"/>
  <c r="B76"/>
  <c r="J76" s="1"/>
  <c r="R76" s="1"/>
  <c r="C76"/>
  <c r="D76"/>
  <c r="E76"/>
  <c r="F76"/>
  <c r="B77"/>
  <c r="J77" s="1"/>
  <c r="R77" s="1"/>
  <c r="C77"/>
  <c r="D77"/>
  <c r="E77"/>
  <c r="F77"/>
  <c r="B78"/>
  <c r="J78" s="1"/>
  <c r="R78" s="1"/>
  <c r="C78"/>
  <c r="D78"/>
  <c r="E78"/>
  <c r="F78"/>
  <c r="B79"/>
  <c r="J79" s="1"/>
  <c r="R79" s="1"/>
  <c r="C79"/>
  <c r="D79"/>
  <c r="E79"/>
  <c r="F79"/>
  <c r="B80"/>
  <c r="J80" s="1"/>
  <c r="R80" s="1"/>
  <c r="C80"/>
  <c r="D80"/>
  <c r="E80"/>
  <c r="F80"/>
  <c r="B81"/>
  <c r="J81" s="1"/>
  <c r="R81" s="1"/>
  <c r="C81"/>
  <c r="D81"/>
  <c r="E81"/>
  <c r="F81"/>
  <c r="B82"/>
  <c r="J82" s="1"/>
  <c r="R82" s="1"/>
  <c r="C82"/>
  <c r="D82"/>
  <c r="E82"/>
  <c r="F82"/>
  <c r="B83"/>
  <c r="J83" s="1"/>
  <c r="R83" s="1"/>
  <c r="C83"/>
  <c r="D83"/>
  <c r="E83"/>
  <c r="F83"/>
  <c r="B84"/>
  <c r="J84" s="1"/>
  <c r="R84" s="1"/>
  <c r="C84"/>
  <c r="D84"/>
  <c r="E84"/>
  <c r="F84"/>
  <c r="B85"/>
  <c r="J85" s="1"/>
  <c r="R85" s="1"/>
  <c r="C85"/>
  <c r="D85"/>
  <c r="E85"/>
  <c r="F85"/>
  <c r="B86"/>
  <c r="J86" s="1"/>
  <c r="R86" s="1"/>
  <c r="C86"/>
  <c r="D86"/>
  <c r="E86"/>
  <c r="F86"/>
  <c r="B87"/>
  <c r="J87" s="1"/>
  <c r="R87" s="1"/>
  <c r="C87"/>
  <c r="D87"/>
  <c r="E87"/>
  <c r="F87"/>
  <c r="B88"/>
  <c r="J88" s="1"/>
  <c r="R88" s="1"/>
  <c r="C88"/>
  <c r="D88"/>
  <c r="E88"/>
  <c r="F88"/>
  <c r="B89"/>
  <c r="J89" s="1"/>
  <c r="R89" s="1"/>
  <c r="C89"/>
  <c r="D89"/>
  <c r="E89"/>
  <c r="F89"/>
  <c r="B90"/>
  <c r="J90" s="1"/>
  <c r="R90" s="1"/>
  <c r="C90"/>
  <c r="D90"/>
  <c r="E90"/>
  <c r="F90"/>
  <c r="B91"/>
  <c r="J91" s="1"/>
  <c r="R91" s="1"/>
  <c r="C91"/>
  <c r="D91"/>
  <c r="E91"/>
  <c r="F91"/>
  <c r="B92"/>
  <c r="J92" s="1"/>
  <c r="R92" s="1"/>
  <c r="C92"/>
  <c r="D92"/>
  <c r="E92"/>
  <c r="F92"/>
  <c r="B93"/>
  <c r="J93" s="1"/>
  <c r="R93" s="1"/>
  <c r="C93"/>
  <c r="D93"/>
  <c r="E93"/>
  <c r="F93"/>
  <c r="B94"/>
  <c r="J94" s="1"/>
  <c r="R94" s="1"/>
  <c r="C94"/>
  <c r="D94"/>
  <c r="E94"/>
  <c r="F94"/>
  <c r="B95"/>
  <c r="J95" s="1"/>
  <c r="R95" s="1"/>
  <c r="C95"/>
  <c r="D95"/>
  <c r="E95"/>
  <c r="F95"/>
  <c r="B96"/>
  <c r="J96" s="1"/>
  <c r="R96" s="1"/>
  <c r="C96"/>
  <c r="D96"/>
  <c r="E96"/>
  <c r="F96"/>
  <c r="B97"/>
  <c r="J97" s="1"/>
  <c r="R97" s="1"/>
  <c r="C97"/>
  <c r="D97"/>
  <c r="E97"/>
  <c r="F97"/>
  <c r="G97"/>
  <c r="B98"/>
  <c r="J98" s="1"/>
  <c r="R98" s="1"/>
  <c r="C98"/>
  <c r="D98"/>
  <c r="E98"/>
  <c r="F98"/>
  <c r="G98"/>
  <c r="B99"/>
  <c r="J99" s="1"/>
  <c r="R99" s="1"/>
  <c r="C99"/>
  <c r="D99"/>
  <c r="E99"/>
  <c r="F99"/>
  <c r="G99"/>
  <c r="B100"/>
  <c r="J100" s="1"/>
  <c r="R100" s="1"/>
  <c r="C100"/>
  <c r="D100"/>
  <c r="E100"/>
  <c r="F100"/>
  <c r="G100"/>
  <c r="B101"/>
  <c r="J101" s="1"/>
  <c r="R101" s="1"/>
  <c r="C101"/>
  <c r="D101"/>
  <c r="E101"/>
  <c r="F101"/>
  <c r="G101"/>
  <c r="B102"/>
  <c r="J102" s="1"/>
  <c r="R102" s="1"/>
  <c r="C102"/>
  <c r="D102"/>
  <c r="E102"/>
  <c r="F102"/>
  <c r="G102"/>
  <c r="B103"/>
  <c r="J103" s="1"/>
  <c r="R103" s="1"/>
  <c r="C103"/>
  <c r="D103"/>
  <c r="E103"/>
  <c r="F103"/>
  <c r="G103"/>
  <c r="B104"/>
  <c r="J104" s="1"/>
  <c r="R104" s="1"/>
  <c r="C104"/>
  <c r="D104"/>
  <c r="E104"/>
  <c r="F104"/>
  <c r="G104"/>
  <c r="B105"/>
  <c r="J105" s="1"/>
  <c r="R105" s="1"/>
  <c r="C105"/>
  <c r="D105"/>
  <c r="E105"/>
  <c r="F105"/>
  <c r="G105"/>
  <c r="B106"/>
  <c r="J106" s="1"/>
  <c r="R106" s="1"/>
  <c r="C106"/>
  <c r="D106"/>
  <c r="E106"/>
  <c r="F106"/>
  <c r="G106"/>
  <c r="B107"/>
  <c r="J107" s="1"/>
  <c r="R107" s="1"/>
  <c r="C107"/>
  <c r="D107"/>
  <c r="E107"/>
  <c r="F107"/>
  <c r="G107"/>
  <c r="B108"/>
  <c r="J108" s="1"/>
  <c r="R108" s="1"/>
  <c r="C108"/>
  <c r="D108"/>
  <c r="E108"/>
  <c r="F108"/>
  <c r="G108"/>
  <c r="B109"/>
  <c r="J109" s="1"/>
  <c r="R109" s="1"/>
  <c r="C109"/>
  <c r="D109"/>
  <c r="E109"/>
  <c r="F109"/>
  <c r="G109"/>
  <c r="B110"/>
  <c r="J110" s="1"/>
  <c r="R110" s="1"/>
  <c r="C110"/>
  <c r="D110"/>
  <c r="E110"/>
  <c r="F110"/>
  <c r="I33" i="32"/>
  <c r="I34"/>
  <c r="I35"/>
  <c r="B18" i="37"/>
  <c r="C18"/>
  <c r="B11"/>
  <c r="B13" s="1"/>
  <c r="C11"/>
  <c r="C13" s="1"/>
  <c r="D11"/>
  <c r="D13" s="1"/>
  <c r="H584" i="30"/>
  <c r="I12" i="32"/>
  <c r="I13"/>
  <c r="I14"/>
  <c r="B12"/>
  <c r="B13"/>
  <c r="B14"/>
  <c r="B15"/>
  <c r="B16"/>
  <c r="B17"/>
  <c r="B18"/>
  <c r="B19"/>
  <c r="B20"/>
  <c r="B21"/>
  <c r="B22"/>
  <c r="B23"/>
  <c r="B24"/>
  <c r="B25"/>
  <c r="B26"/>
  <c r="B27"/>
  <c r="G532" i="30"/>
  <c r="B26"/>
  <c r="D392"/>
  <c r="C475"/>
  <c r="C476"/>
  <c r="C501"/>
  <c r="C505"/>
  <c r="D527"/>
  <c r="E527"/>
  <c r="F527"/>
  <c r="D532"/>
  <c r="E532"/>
  <c r="F532"/>
  <c r="D537"/>
  <c r="E537"/>
  <c r="F537"/>
  <c r="D538"/>
  <c r="E538"/>
  <c r="F538"/>
  <c r="D542"/>
  <c r="E542"/>
  <c r="F542"/>
  <c r="D555"/>
  <c r="E555"/>
  <c r="F555"/>
  <c r="L555"/>
  <c r="D560"/>
  <c r="E560"/>
  <c r="F560"/>
  <c r="L560"/>
  <c r="E565"/>
  <c r="F565"/>
  <c r="L565"/>
  <c r="D566"/>
  <c r="E566"/>
  <c r="F566"/>
  <c r="L566"/>
  <c r="D583"/>
  <c r="E583"/>
  <c r="F583"/>
  <c r="D584"/>
  <c r="D587"/>
  <c r="D589" s="1"/>
  <c r="E587"/>
  <c r="F587"/>
  <c r="F589" s="1"/>
  <c r="E588"/>
  <c r="E590" s="1"/>
  <c r="F588"/>
  <c r="F590" s="1"/>
  <c r="E589"/>
  <c r="D593"/>
  <c r="E593"/>
  <c r="F593"/>
  <c r="D594"/>
  <c r="E594"/>
  <c r="F594"/>
  <c r="D611"/>
  <c r="D612"/>
  <c r="D615"/>
  <c r="D617" s="1"/>
  <c r="F615"/>
  <c r="F617" s="1"/>
  <c r="L615"/>
  <c r="L617" s="1"/>
  <c r="D616"/>
  <c r="E616"/>
  <c r="F616"/>
  <c r="L616"/>
  <c r="D621"/>
  <c r="F621"/>
  <c r="L621"/>
  <c r="D622"/>
  <c r="E622"/>
  <c r="F622"/>
  <c r="L622"/>
  <c r="B726"/>
  <c r="C734"/>
  <c r="C492"/>
  <c r="K560"/>
  <c r="I560"/>
  <c r="J532"/>
  <c r="H532"/>
  <c r="I532"/>
  <c r="G584"/>
  <c r="I615"/>
  <c r="E615"/>
  <c r="E617" s="1"/>
  <c r="K587"/>
  <c r="I587"/>
  <c r="G587"/>
  <c r="U77" i="35"/>
  <c r="U74"/>
  <c r="G89"/>
  <c r="S61"/>
  <c r="S68"/>
  <c r="S66"/>
  <c r="S64"/>
  <c r="S111"/>
  <c r="S109"/>
  <c r="S107"/>
  <c r="S105"/>
  <c r="S103"/>
  <c r="S101"/>
  <c r="S99"/>
  <c r="S97"/>
  <c r="S95"/>
  <c r="S93"/>
  <c r="S91"/>
  <c r="S89"/>
  <c r="S87"/>
  <c r="S85"/>
  <c r="S83"/>
  <c r="S81"/>
  <c r="S79"/>
  <c r="S76"/>
  <c r="S73"/>
  <c r="S71"/>
  <c r="T61"/>
  <c r="T110"/>
  <c r="T108"/>
  <c r="T106"/>
  <c r="T104"/>
  <c r="T102"/>
  <c r="T100"/>
  <c r="T98"/>
  <c r="T96"/>
  <c r="T94"/>
  <c r="T92"/>
  <c r="T90"/>
  <c r="T88"/>
  <c r="T86"/>
  <c r="T84"/>
  <c r="T82"/>
  <c r="T80"/>
  <c r="T78"/>
  <c r="T75"/>
  <c r="T72"/>
  <c r="T70"/>
  <c r="T68"/>
  <c r="T66"/>
  <c r="T64"/>
  <c r="U111"/>
  <c r="U110"/>
  <c r="U109"/>
  <c r="U108"/>
  <c r="U107"/>
  <c r="U106"/>
  <c r="U105"/>
  <c r="U104"/>
  <c r="U103"/>
  <c r="U102"/>
  <c r="U101"/>
  <c r="U100"/>
  <c r="U99"/>
  <c r="U98"/>
  <c r="U97"/>
  <c r="U96"/>
  <c r="U95"/>
  <c r="U94"/>
  <c r="U93"/>
  <c r="U92"/>
  <c r="U91"/>
  <c r="U90"/>
  <c r="U89"/>
  <c r="U88"/>
  <c r="U87"/>
  <c r="U86"/>
  <c r="U85"/>
  <c r="U84"/>
  <c r="U83"/>
  <c r="U82"/>
  <c r="U81"/>
  <c r="U80"/>
  <c r="U79"/>
  <c r="U78"/>
  <c r="U76"/>
  <c r="U75"/>
  <c r="U73"/>
  <c r="U72"/>
  <c r="U71"/>
  <c r="U70"/>
  <c r="U69"/>
  <c r="U68"/>
  <c r="U67"/>
  <c r="U66"/>
  <c r="U65"/>
  <c r="U64"/>
  <c r="U63"/>
  <c r="U62"/>
  <c r="S74"/>
  <c r="S77"/>
  <c r="T77"/>
  <c r="T74"/>
  <c r="V77"/>
  <c r="V74"/>
  <c r="S62"/>
  <c r="S67"/>
  <c r="S65"/>
  <c r="S63"/>
  <c r="S110"/>
  <c r="S108"/>
  <c r="S106"/>
  <c r="S104"/>
  <c r="S102"/>
  <c r="S100"/>
  <c r="S98"/>
  <c r="S96"/>
  <c r="S94"/>
  <c r="S92"/>
  <c r="S90"/>
  <c r="S88"/>
  <c r="S86"/>
  <c r="S84"/>
  <c r="S82"/>
  <c r="S80"/>
  <c r="S78"/>
  <c r="S75"/>
  <c r="S72"/>
  <c r="S70"/>
  <c r="T111"/>
  <c r="T109"/>
  <c r="T107"/>
  <c r="T105"/>
  <c r="T103"/>
  <c r="T101"/>
  <c r="T99"/>
  <c r="T97"/>
  <c r="T95"/>
  <c r="T93"/>
  <c r="T91"/>
  <c r="T89"/>
  <c r="T87"/>
  <c r="T85"/>
  <c r="T83"/>
  <c r="T81"/>
  <c r="T79"/>
  <c r="T76"/>
  <c r="T73"/>
  <c r="T71"/>
  <c r="T69"/>
  <c r="T67"/>
  <c r="T65"/>
  <c r="T63"/>
  <c r="V111"/>
  <c r="V110"/>
  <c r="V109"/>
  <c r="V108"/>
  <c r="V107"/>
  <c r="V106"/>
  <c r="V105"/>
  <c r="V104"/>
  <c r="V103"/>
  <c r="V102"/>
  <c r="V101"/>
  <c r="V100"/>
  <c r="V99"/>
  <c r="V98"/>
  <c r="V97"/>
  <c r="V96"/>
  <c r="V95"/>
  <c r="V94"/>
  <c r="V93"/>
  <c r="V92"/>
  <c r="V91"/>
  <c r="V90"/>
  <c r="V89"/>
  <c r="V88"/>
  <c r="V87"/>
  <c r="V86"/>
  <c r="V85"/>
  <c r="V84"/>
  <c r="V83"/>
  <c r="V82"/>
  <c r="V81"/>
  <c r="V80"/>
  <c r="V79"/>
  <c r="V78"/>
  <c r="V76"/>
  <c r="V75"/>
  <c r="V73"/>
  <c r="V72"/>
  <c r="V71"/>
  <c r="V70"/>
  <c r="V69"/>
  <c r="V68"/>
  <c r="V67"/>
  <c r="V66"/>
  <c r="V65"/>
  <c r="V64"/>
  <c r="V63"/>
  <c r="V62"/>
  <c r="I612" i="30"/>
  <c r="K612"/>
  <c r="J560"/>
  <c r="H560"/>
  <c r="K555"/>
  <c r="I555"/>
  <c r="G555"/>
  <c r="K588"/>
  <c r="I588"/>
  <c r="G588"/>
  <c r="J587"/>
  <c r="H587"/>
  <c r="H589" s="1"/>
  <c r="J583"/>
  <c r="J589" s="1"/>
  <c r="J616"/>
  <c r="K615"/>
  <c r="G615"/>
  <c r="J612"/>
  <c r="K611"/>
  <c r="D588"/>
  <c r="D590" s="1"/>
  <c r="B5"/>
  <c r="A352" s="1"/>
  <c r="H611"/>
  <c r="J611"/>
  <c r="G612"/>
  <c r="H615"/>
  <c r="J615"/>
  <c r="G616"/>
  <c r="I616"/>
  <c r="K616"/>
  <c r="G583"/>
  <c r="G589" s="1"/>
  <c r="I583"/>
  <c r="I589" s="1"/>
  <c r="K583"/>
  <c r="E612"/>
  <c r="G590"/>
  <c r="F612"/>
  <c r="L612"/>
  <c r="H612"/>
  <c r="J555"/>
  <c r="H588"/>
  <c r="H590" s="1"/>
  <c r="H616"/>
  <c r="D585"/>
  <c r="E529"/>
  <c r="F586"/>
  <c r="F585"/>
  <c r="E585"/>
  <c r="E621"/>
  <c r="H537"/>
  <c r="K565"/>
  <c r="K621"/>
  <c r="B27"/>
  <c r="K561"/>
  <c r="I561"/>
  <c r="E561"/>
  <c r="D533"/>
  <c r="D47" i="32"/>
  <c r="K47" s="1"/>
  <c r="H46"/>
  <c r="D33"/>
  <c r="K33" s="1"/>
  <c r="J588" i="30"/>
  <c r="G561"/>
  <c r="F533"/>
  <c r="D48" i="32"/>
  <c r="K48" s="1"/>
  <c r="D41"/>
  <c r="K41" s="1"/>
  <c r="H40"/>
  <c r="D34"/>
  <c r="K34" s="1"/>
  <c r="H35"/>
  <c r="E559" i="30"/>
  <c r="G96" i="35"/>
  <c r="G94"/>
  <c r="G90"/>
  <c r="G87"/>
  <c r="G85"/>
  <c r="G83"/>
  <c r="G81"/>
  <c r="G79"/>
  <c r="G77"/>
  <c r="G75"/>
  <c r="G73"/>
  <c r="G71"/>
  <c r="G69"/>
  <c r="G67"/>
  <c r="G65"/>
  <c r="G63"/>
  <c r="G61"/>
  <c r="G95"/>
  <c r="G93"/>
  <c r="G91"/>
  <c r="G88"/>
  <c r="G86"/>
  <c r="G84"/>
  <c r="G82"/>
  <c r="G80"/>
  <c r="G78"/>
  <c r="G76"/>
  <c r="G74"/>
  <c r="G72"/>
  <c r="G70"/>
  <c r="G68"/>
  <c r="G66"/>
  <c r="G62"/>
  <c r="H49" i="32"/>
  <c r="D36"/>
  <c r="K36" s="1"/>
  <c r="H34"/>
  <c r="H27"/>
  <c r="D27"/>
  <c r="D25"/>
  <c r="K25" s="1"/>
  <c r="H25"/>
  <c r="H23"/>
  <c r="D23"/>
  <c r="K23" s="1"/>
  <c r="H21"/>
  <c r="D21"/>
  <c r="D19"/>
  <c r="K19" s="1"/>
  <c r="H19"/>
  <c r="H17"/>
  <c r="D17"/>
  <c r="K17" s="1"/>
  <c r="D15"/>
  <c r="K15" s="1"/>
  <c r="H15"/>
  <c r="D13"/>
  <c r="K13" s="1"/>
  <c r="H13"/>
  <c r="O13"/>
  <c r="P13" s="1"/>
  <c r="Q13" s="1"/>
  <c r="D614" i="30"/>
  <c r="F531"/>
  <c r="D26" i="32"/>
  <c r="K26" s="1"/>
  <c r="H26"/>
  <c r="D24"/>
  <c r="H24"/>
  <c r="D22"/>
  <c r="K22" s="1"/>
  <c r="H22"/>
  <c r="D20"/>
  <c r="K20" s="1"/>
  <c r="H20"/>
  <c r="D18"/>
  <c r="H18"/>
  <c r="D16"/>
  <c r="K16" s="1"/>
  <c r="H16"/>
  <c r="H14"/>
  <c r="D14"/>
  <c r="O14"/>
  <c r="P14" s="1"/>
  <c r="Q14" s="1"/>
  <c r="H12"/>
  <c r="D12"/>
  <c r="K12" s="1"/>
  <c r="O12"/>
  <c r="P12" s="1"/>
  <c r="Q12" s="1"/>
  <c r="G560" i="30"/>
  <c r="G92" i="35"/>
  <c r="D18" i="37"/>
  <c r="L561" i="30"/>
  <c r="H561"/>
  <c r="D559"/>
  <c r="H533"/>
  <c r="G531"/>
  <c r="I559"/>
  <c r="E530"/>
  <c r="H559"/>
  <c r="K559"/>
  <c r="D531"/>
  <c r="K584"/>
  <c r="K590" s="1"/>
  <c r="I584"/>
  <c r="J584"/>
  <c r="J590" s="1"/>
  <c r="F455"/>
  <c r="B684"/>
  <c r="L613"/>
  <c r="H582"/>
  <c r="H613"/>
  <c r="B17" i="37"/>
  <c r="B20" s="1"/>
  <c r="K613" i="30"/>
  <c r="I613"/>
  <c r="F595"/>
  <c r="D17" i="37"/>
  <c r="F610" i="30"/>
  <c r="G582"/>
  <c r="K582"/>
  <c r="C17" i="37"/>
  <c r="C20" s="1"/>
  <c r="I611" i="30" l="1"/>
  <c r="I617" s="1"/>
  <c r="L568"/>
  <c r="G618"/>
  <c r="H617"/>
  <c r="H36" i="32"/>
  <c r="D2"/>
  <c r="D455" i="30"/>
  <c r="E455"/>
  <c r="E610"/>
  <c r="B10" i="37"/>
  <c r="B14" s="1"/>
  <c r="E586" i="30"/>
  <c r="J614"/>
  <c r="A420"/>
  <c r="D613"/>
  <c r="A39"/>
  <c r="F568"/>
  <c r="I568"/>
  <c r="F540"/>
  <c r="A56"/>
  <c r="E614"/>
  <c r="H595"/>
  <c r="J582"/>
  <c r="A356"/>
  <c r="D623"/>
  <c r="H610"/>
  <c r="F570"/>
  <c r="G614"/>
  <c r="D565"/>
  <c r="I537"/>
  <c r="J565"/>
  <c r="E595"/>
  <c r="J617"/>
  <c r="C425"/>
  <c r="C431"/>
  <c r="C50"/>
  <c r="D44" i="32"/>
  <c r="K44" s="1"/>
  <c r="H585" i="30"/>
  <c r="C10" i="37"/>
  <c r="C14" s="1"/>
  <c r="D595" i="30"/>
  <c r="D20" i="37"/>
  <c r="E570" i="30"/>
  <c r="D569"/>
  <c r="B734"/>
  <c r="B737" s="1"/>
  <c r="H41" i="32"/>
  <c r="G559" i="30"/>
  <c r="D45" i="32"/>
  <c r="K45" s="1"/>
  <c r="H43"/>
  <c r="C474" i="30"/>
  <c r="L570"/>
  <c r="I590"/>
  <c r="K589"/>
  <c r="K623"/>
  <c r="J613"/>
  <c r="H48" i="32"/>
  <c r="H47"/>
  <c r="H45"/>
  <c r="D39"/>
  <c r="K39" s="1"/>
  <c r="D37"/>
  <c r="K37" s="1"/>
  <c r="H33"/>
  <c r="B58" i="6"/>
  <c r="J527" i="30"/>
  <c r="H527"/>
  <c r="F596"/>
  <c r="F597" s="1"/>
  <c r="G585"/>
  <c r="K617"/>
  <c r="D38" i="32"/>
  <c r="K38" s="1"/>
  <c r="G617" i="30"/>
  <c r="G586"/>
  <c r="L610"/>
  <c r="E613"/>
  <c r="I582"/>
  <c r="F613"/>
  <c r="D10" i="37"/>
  <c r="D14" s="1"/>
  <c r="G533" i="30"/>
  <c r="D561"/>
  <c r="E526"/>
  <c r="E528"/>
  <c r="B698"/>
  <c r="C693" s="1"/>
  <c r="C698" s="1"/>
  <c r="D693" s="1"/>
  <c r="D698" s="1"/>
  <c r="B35" i="37"/>
  <c r="E531" i="30"/>
  <c r="G64" i="35"/>
  <c r="G613" i="30"/>
  <c r="G595"/>
  <c r="H623"/>
  <c r="D586"/>
  <c r="E539"/>
  <c r="L567"/>
  <c r="L569" s="1"/>
  <c r="K585"/>
  <c r="F650"/>
  <c r="F652" s="1"/>
  <c r="F653" s="1"/>
  <c r="K51" i="32"/>
  <c r="G650" i="30"/>
  <c r="G652" s="1"/>
  <c r="F539"/>
  <c r="B663"/>
  <c r="B664"/>
  <c r="I585"/>
  <c r="K29" i="32"/>
  <c r="H531" i="30"/>
  <c r="G623"/>
  <c r="B665"/>
  <c r="D618"/>
  <c r="D4" i="32"/>
  <c r="B3" i="6"/>
  <c r="F541" i="30"/>
  <c r="J585"/>
  <c r="H586"/>
  <c r="H28" i="32"/>
  <c r="H50" l="1"/>
  <c r="F567" i="30"/>
  <c r="F598"/>
  <c r="I567"/>
  <c r="K596"/>
  <c r="K595"/>
  <c r="I586"/>
  <c r="I595"/>
  <c r="J595"/>
  <c r="J586"/>
  <c r="F569"/>
  <c r="J570"/>
  <c r="D570"/>
  <c r="E569"/>
  <c r="F614"/>
  <c r="J533"/>
  <c r="J531"/>
  <c r="E596"/>
  <c r="E597" s="1"/>
  <c r="I533"/>
  <c r="I531"/>
  <c r="E541"/>
  <c r="E533"/>
  <c r="B731"/>
  <c r="J561"/>
  <c r="J559"/>
  <c r="F561"/>
  <c r="F559"/>
  <c r="D528"/>
  <c r="F528"/>
  <c r="H526"/>
  <c r="G556"/>
  <c r="G554"/>
  <c r="I554"/>
  <c r="I556"/>
  <c r="K554"/>
  <c r="K556"/>
  <c r="I528"/>
  <c r="D556"/>
  <c r="F556"/>
  <c r="D526"/>
  <c r="F526"/>
  <c r="H528"/>
  <c r="J528"/>
  <c r="J526"/>
  <c r="E556"/>
  <c r="E554"/>
  <c r="G528"/>
  <c r="G526"/>
  <c r="I526"/>
  <c r="D554"/>
  <c r="F554"/>
  <c r="H556"/>
  <c r="H554"/>
  <c r="J556"/>
  <c r="J554"/>
  <c r="L554"/>
  <c r="L556"/>
  <c r="H562"/>
  <c r="G637"/>
  <c r="G653"/>
  <c r="G649"/>
  <c r="D596"/>
  <c r="D597" s="1"/>
  <c r="D562"/>
  <c r="L562"/>
  <c r="E562"/>
  <c r="G562"/>
  <c r="L623"/>
  <c r="H534"/>
  <c r="F623"/>
  <c r="I623"/>
  <c r="E623"/>
  <c r="J623"/>
  <c r="B742"/>
  <c r="K597" l="1"/>
  <c r="K598"/>
  <c r="G568"/>
  <c r="K570"/>
  <c r="D541"/>
  <c r="B662"/>
  <c r="B743"/>
  <c r="B744" s="1"/>
  <c r="E730"/>
  <c r="E729"/>
  <c r="E731" s="1"/>
  <c r="J534"/>
  <c r="L557"/>
  <c r="J557"/>
  <c r="H557"/>
  <c r="F557"/>
  <c r="G539"/>
  <c r="E557"/>
  <c r="I562"/>
  <c r="I557"/>
  <c r="H529"/>
  <c r="F529"/>
  <c r="D529"/>
  <c r="H626"/>
  <c r="H614"/>
  <c r="L614"/>
  <c r="F562"/>
  <c r="K562"/>
  <c r="F534"/>
  <c r="G534"/>
  <c r="J562"/>
  <c r="F624"/>
  <c r="F625" s="1"/>
  <c r="L624"/>
  <c r="L625" s="1"/>
  <c r="E540"/>
  <c r="K586"/>
  <c r="I624"/>
  <c r="I625" s="1"/>
  <c r="I534" l="1"/>
  <c r="I539"/>
  <c r="J539"/>
  <c r="C665"/>
  <c r="C666"/>
  <c r="F665"/>
  <c r="F663"/>
  <c r="F664"/>
  <c r="F662"/>
  <c r="C662"/>
  <c r="C663"/>
  <c r="C664"/>
  <c r="G567"/>
  <c r="D540"/>
  <c r="D567"/>
  <c r="H539"/>
  <c r="K557"/>
  <c r="G557"/>
  <c r="K567"/>
  <c r="J529"/>
  <c r="E567"/>
  <c r="I529"/>
  <c r="J567"/>
  <c r="D539"/>
  <c r="D568"/>
  <c r="G529"/>
  <c r="D557"/>
  <c r="K568"/>
  <c r="E568"/>
  <c r="H567"/>
  <c r="J568"/>
  <c r="H568"/>
  <c r="L626"/>
  <c r="F626"/>
  <c r="I626"/>
  <c r="H540" l="1"/>
  <c r="K569"/>
  <c r="J569"/>
  <c r="E558"/>
  <c r="I530"/>
  <c r="J530"/>
  <c r="H530"/>
  <c r="G558"/>
  <c r="K558"/>
  <c r="J558"/>
  <c r="D558"/>
  <c r="G530"/>
  <c r="I558"/>
  <c r="F530"/>
  <c r="F558"/>
  <c r="L558"/>
  <c r="H558"/>
  <c r="D530"/>
  <c r="H624" l="1"/>
  <c r="H625" s="1"/>
  <c r="D534" l="1"/>
  <c r="E534" l="1"/>
  <c r="C472" l="1"/>
  <c r="B745" l="1"/>
  <c r="C473"/>
  <c r="C481" l="1"/>
  <c r="C471" l="1"/>
  <c r="C477" l="1"/>
  <c r="C480" l="1"/>
  <c r="C482"/>
  <c r="C485" l="1"/>
  <c r="C484"/>
  <c r="C486" l="1"/>
  <c r="C487" l="1"/>
  <c r="C488" l="1"/>
  <c r="C489" l="1"/>
  <c r="C490" l="1"/>
  <c r="C491" l="1"/>
  <c r="C432"/>
  <c r="B730" s="1"/>
  <c r="C433" s="1"/>
  <c r="B738" l="1"/>
  <c r="B739" s="1"/>
  <c r="B749" s="1"/>
  <c r="B496" l="1"/>
  <c r="B685" l="1"/>
  <c r="B686" l="1"/>
  <c r="D666"/>
  <c r="E666" s="1"/>
  <c r="D664"/>
  <c r="E664" s="1"/>
  <c r="D663"/>
  <c r="E663" s="1"/>
  <c r="D662"/>
  <c r="E662" s="1"/>
  <c r="D665"/>
  <c r="E665" s="1"/>
  <c r="B515" l="1"/>
  <c r="C493" l="1"/>
  <c r="C504" l="1"/>
  <c r="C508" l="1"/>
  <c r="C509"/>
  <c r="C510" l="1"/>
  <c r="J540"/>
  <c r="C511" l="1"/>
  <c r="D626"/>
  <c r="D598" l="1"/>
  <c r="G598"/>
  <c r="D624"/>
  <c r="D625" s="1"/>
  <c r="H598"/>
  <c r="C512"/>
  <c r="E626"/>
  <c r="J598"/>
  <c r="E598"/>
  <c r="F401"/>
  <c r="I598"/>
  <c r="G540" l="1"/>
  <c r="E624"/>
  <c r="E625" s="1"/>
  <c r="G626"/>
  <c r="H596"/>
  <c r="H597" s="1"/>
  <c r="J596" l="1"/>
  <c r="J597" s="1"/>
  <c r="I596"/>
  <c r="I597" s="1"/>
  <c r="I540"/>
  <c r="G596"/>
  <c r="G597" s="1"/>
  <c r="G624"/>
  <c r="G625" s="1"/>
  <c r="J626"/>
  <c r="K626"/>
  <c r="K624" l="1"/>
  <c r="K625" s="1"/>
  <c r="J624"/>
  <c r="J625" s="1"/>
  <c r="C513" l="1"/>
</calcChain>
</file>

<file path=xl/comments1.xml><?xml version="1.0" encoding="utf-8"?>
<comments xmlns="http://schemas.openxmlformats.org/spreadsheetml/2006/main">
  <authors>
    <author>plattc</author>
    <author>karsondd</author>
    <author>deenf</author>
    <author>klidonam</author>
  </authors>
  <commentList>
    <comment ref="A3" authorId="0">
      <text>
        <r>
          <rPr>
            <b/>
            <sz val="8"/>
            <color indexed="81"/>
            <rFont val="Tahoma"/>
            <family val="2"/>
          </rPr>
          <t>plattc:</t>
        </r>
        <r>
          <rPr>
            <sz val="8"/>
            <color indexed="81"/>
            <rFont val="Tahoma"/>
            <family val="2"/>
          </rPr>
          <t xml:space="preserve">
Update here for monthy/quarterly</t>
        </r>
      </text>
    </comment>
    <comment ref="B5" authorId="0">
      <text>
        <r>
          <rPr>
            <b/>
            <sz val="8"/>
            <color indexed="81"/>
            <rFont val="Tahoma"/>
            <family val="2"/>
          </rPr>
          <t>plattc:</t>
        </r>
        <r>
          <rPr>
            <sz val="8"/>
            <color indexed="81"/>
            <rFont val="Tahoma"/>
            <family val="2"/>
          </rPr>
          <t xml:space="preserve">
Updated depending on Issuer payment date in cell D9</t>
        </r>
      </text>
    </comment>
    <comment ref="B9" authorId="0">
      <text>
        <r>
          <rPr>
            <b/>
            <sz val="8"/>
            <color indexed="81"/>
            <rFont val="Tahoma"/>
            <family val="2"/>
          </rPr>
          <t>plattc:</t>
        </r>
        <r>
          <rPr>
            <sz val="8"/>
            <color indexed="81"/>
            <rFont val="Tahoma"/>
            <family val="2"/>
          </rPr>
          <t xml:space="preserve">
Update here to change whole report</t>
        </r>
      </text>
    </comment>
    <comment ref="B10" authorId="0">
      <text>
        <r>
          <rPr>
            <b/>
            <sz val="8"/>
            <color indexed="81"/>
            <rFont val="Tahoma"/>
            <family val="2"/>
          </rPr>
          <t>plattc:</t>
        </r>
        <r>
          <rPr>
            <sz val="8"/>
            <color indexed="81"/>
            <rFont val="Tahoma"/>
            <family val="2"/>
          </rPr>
          <t xml:space="preserve">
Update here to change whole report</t>
        </r>
      </text>
    </comment>
    <comment ref="C41" authorId="0">
      <text>
        <r>
          <rPr>
            <b/>
            <sz val="8"/>
            <color indexed="81"/>
            <rFont val="Tahoma"/>
            <family val="2"/>
          </rPr>
          <t>plattc:</t>
        </r>
        <r>
          <rPr>
            <sz val="8"/>
            <color indexed="81"/>
            <rFont val="Tahoma"/>
            <family val="2"/>
          </rPr>
          <t xml:space="preserve">
From Strat Tables</t>
        </r>
      </text>
    </comment>
    <comment ref="D41" authorId="0">
      <text>
        <r>
          <rPr>
            <b/>
            <sz val="8"/>
            <color indexed="81"/>
            <rFont val="Tahoma"/>
            <family val="2"/>
          </rPr>
          <t>plattc:</t>
        </r>
        <r>
          <rPr>
            <sz val="8"/>
            <color indexed="81"/>
            <rFont val="Tahoma"/>
            <family val="2"/>
          </rPr>
          <t xml:space="preserve">
Update as per the monthly report to
 refelct the new cut off - 31/03/07</t>
        </r>
      </text>
    </comment>
    <comment ref="C42" authorId="0">
      <text>
        <r>
          <rPr>
            <b/>
            <sz val="8"/>
            <color indexed="81"/>
            <rFont val="Tahoma"/>
            <family val="2"/>
          </rPr>
          <t>plattc:</t>
        </r>
        <r>
          <rPr>
            <sz val="8"/>
            <color indexed="81"/>
            <rFont val="Tahoma"/>
            <family val="2"/>
          </rPr>
          <t xml:space="preserve">
From Strats</t>
        </r>
      </text>
    </comment>
    <comment ref="D42" authorId="0">
      <text>
        <r>
          <rPr>
            <b/>
            <sz val="8"/>
            <color indexed="81"/>
            <rFont val="Tahoma"/>
            <family val="2"/>
          </rPr>
          <t>plattc:</t>
        </r>
        <r>
          <rPr>
            <sz val="8"/>
            <color indexed="81"/>
            <rFont val="Tahoma"/>
            <family val="2"/>
          </rPr>
          <t xml:space="preserve">
All stats as of 'CUT-OFF DATE' are set in the prospectus and do not get updated!</t>
        </r>
      </text>
    </comment>
    <comment ref="C43" authorId="0">
      <text>
        <r>
          <rPr>
            <b/>
            <sz val="8"/>
            <color indexed="81"/>
            <rFont val="Tahoma"/>
            <family val="2"/>
          </rPr>
          <t>plattc:</t>
        </r>
        <r>
          <rPr>
            <sz val="8"/>
            <color indexed="81"/>
            <rFont val="Tahoma"/>
            <family val="2"/>
          </rPr>
          <t xml:space="preserve">
From Strats - Be Careful to use correct figure  - this </t>
        </r>
        <r>
          <rPr>
            <b/>
            <sz val="8"/>
            <color indexed="81"/>
            <rFont val="Tahoma"/>
            <family val="2"/>
          </rPr>
          <t xml:space="preserve">excludes the reserve balance </t>
        </r>
        <r>
          <rPr>
            <sz val="8"/>
            <color indexed="81"/>
            <rFont val="Tahoma"/>
            <family val="2"/>
          </rPr>
          <t xml:space="preserve">(it's only the loans - not the whole account!) </t>
        </r>
        <r>
          <rPr>
            <sz val="8"/>
            <color indexed="81"/>
            <rFont val="Tahoma"/>
            <family val="2"/>
          </rPr>
          <t>so take from the 'Coupon Rate on Mortgage Loans' section ( Pg 10 in this report)</t>
        </r>
      </text>
    </comment>
    <comment ref="D43" authorId="0">
      <text>
        <r>
          <rPr>
            <b/>
            <sz val="8"/>
            <color indexed="81"/>
            <rFont val="Tahoma"/>
            <family val="2"/>
          </rPr>
          <t>plattc:</t>
        </r>
        <r>
          <rPr>
            <sz val="8"/>
            <color indexed="81"/>
            <rFont val="Tahoma"/>
            <family val="2"/>
          </rPr>
          <t xml:space="preserve">
All stats as of 'CUT-OFF DATE' are set in the prospectus and do not get updated!</t>
        </r>
      </text>
    </comment>
    <comment ref="D44" authorId="0">
      <text>
        <r>
          <rPr>
            <b/>
            <sz val="8"/>
            <color indexed="81"/>
            <rFont val="Tahoma"/>
            <family val="2"/>
          </rPr>
          <t>plattc:</t>
        </r>
        <r>
          <rPr>
            <sz val="8"/>
            <color indexed="81"/>
            <rFont val="Tahoma"/>
            <family val="2"/>
          </rPr>
          <t xml:space="preserve">
All stats as of 'CUT-OFF DATE' are set in the prospectus and do not get updated!</t>
        </r>
      </text>
    </comment>
    <comment ref="D45" authorId="0">
      <text>
        <r>
          <rPr>
            <b/>
            <sz val="8"/>
            <color indexed="81"/>
            <rFont val="Tahoma"/>
            <family val="2"/>
          </rPr>
          <t>plattc:</t>
        </r>
        <r>
          <rPr>
            <sz val="8"/>
            <color indexed="81"/>
            <rFont val="Tahoma"/>
            <family val="2"/>
          </rPr>
          <t xml:space="preserve">
All stats as of 'CUT-OFF DATE' are set in the prospectus and do not get updated!</t>
        </r>
      </text>
    </comment>
    <comment ref="C352" authorId="0">
      <text>
        <r>
          <rPr>
            <b/>
            <sz val="8"/>
            <color indexed="81"/>
            <rFont val="Tahoma"/>
            <family val="2"/>
          </rPr>
          <t>plattc:</t>
        </r>
        <r>
          <rPr>
            <sz val="8"/>
            <color indexed="81"/>
            <rFont val="Tahoma"/>
            <family val="2"/>
          </rPr>
          <t xml:space="preserve">
This comes from the numbers on th estrat table - weighted avg calc on Richards spreadsheet.</t>
        </r>
      </text>
    </comment>
    <comment ref="D352" authorId="0">
      <text>
        <r>
          <rPr>
            <b/>
            <sz val="10"/>
            <color indexed="81"/>
            <rFont val="Tahoma"/>
            <family val="2"/>
          </rPr>
          <t>plattc: From Prospectus this is the Loan Principal+Reserve Principal+ any unpaid interest (In this case, August Trust Waterfall DATA and Infrast inputs! B 156)</t>
        </r>
        <r>
          <rPr>
            <sz val="8"/>
            <color indexed="81"/>
            <rFont val="Tahoma"/>
            <family val="2"/>
          </rPr>
          <t xml:space="preserve">
</t>
        </r>
      </text>
    </comment>
    <comment ref="C353" authorId="0">
      <text>
        <r>
          <rPr>
            <b/>
            <sz val="8"/>
            <color indexed="81"/>
            <rFont val="Tahoma"/>
            <family val="2"/>
          </rPr>
          <t>plattc:</t>
        </r>
        <r>
          <rPr>
            <sz val="8"/>
            <color indexed="81"/>
            <rFont val="Tahoma"/>
            <family val="2"/>
          </rPr>
          <t xml:space="preserve">
update this by adding the new number above..</t>
        </r>
      </text>
    </comment>
    <comment ref="D353" authorId="0">
      <text>
        <r>
          <rPr>
            <b/>
            <sz val="8"/>
            <color indexed="81"/>
            <rFont val="Tahoma"/>
            <family val="2"/>
          </rPr>
          <t>plattc:</t>
        </r>
        <r>
          <rPr>
            <sz val="8"/>
            <color indexed="81"/>
            <rFont val="Tahoma"/>
            <family val="2"/>
          </rPr>
          <t xml:space="preserve">
Update this by adding the new figure above
</t>
        </r>
      </text>
    </comment>
    <comment ref="C356" authorId="0">
      <text>
        <r>
          <rPr>
            <b/>
            <sz val="8"/>
            <color indexed="81"/>
            <rFont val="Tahoma"/>
            <family val="2"/>
          </rPr>
          <t>plattc:</t>
        </r>
        <r>
          <rPr>
            <sz val="8"/>
            <color indexed="81"/>
            <rFont val="Tahoma"/>
            <family val="2"/>
          </rPr>
          <t xml:space="preserve">
This comes from the numbers on th estrat table - weighted avg calc on Richards spreadsheet.</t>
        </r>
      </text>
    </comment>
    <comment ref="D356" authorId="0">
      <text>
        <r>
          <rPr>
            <b/>
            <sz val="8"/>
            <color indexed="81"/>
            <rFont val="Tahoma"/>
            <family val="2"/>
          </rPr>
          <t>plattc:</t>
        </r>
        <r>
          <rPr>
            <sz val="8"/>
            <color indexed="81"/>
            <rFont val="Tahoma"/>
            <family val="2"/>
          </rPr>
          <t xml:space="preserve">
This is equal to th ecalc principal balance + reserve balance Data&amp;Infr Inputs! B159+B162 for th erelevant period.</t>
        </r>
      </text>
    </comment>
    <comment ref="C357" authorId="0">
      <text>
        <r>
          <rPr>
            <b/>
            <sz val="8"/>
            <color indexed="81"/>
            <rFont val="Tahoma"/>
            <family val="2"/>
          </rPr>
          <t>plattc:</t>
        </r>
        <r>
          <rPr>
            <sz val="8"/>
            <color indexed="81"/>
            <rFont val="Tahoma"/>
            <family val="2"/>
          </rPr>
          <t xml:space="preserve">
update this by adding the new number above..</t>
        </r>
      </text>
    </comment>
    <comment ref="D357" authorId="0">
      <text>
        <r>
          <rPr>
            <b/>
            <sz val="8"/>
            <color indexed="81"/>
            <rFont val="Tahoma"/>
            <family val="2"/>
          </rPr>
          <t>plattc:</t>
        </r>
        <r>
          <rPr>
            <sz val="8"/>
            <color indexed="81"/>
            <rFont val="Tahoma"/>
            <family val="2"/>
          </rPr>
          <t xml:space="preserve">
update this by adding the new number above..</t>
        </r>
      </text>
    </comment>
    <comment ref="C364" authorId="0">
      <text>
        <r>
          <rPr>
            <b/>
            <sz val="11"/>
            <color indexed="81"/>
            <rFont val="Tahoma"/>
            <family val="2"/>
          </rPr>
          <t>plattc:</t>
        </r>
        <r>
          <rPr>
            <sz val="11"/>
            <color indexed="81"/>
            <rFont val="Tahoma"/>
            <family val="2"/>
          </rPr>
          <t xml:space="preserve">
Taken from the relevant monthly reports i.e. this one is pasted from the Sept  report</t>
        </r>
      </text>
    </comment>
    <comment ref="F364" authorId="0">
      <text>
        <r>
          <rPr>
            <b/>
            <sz val="8"/>
            <color indexed="81"/>
            <rFont val="Tahoma"/>
            <family val="2"/>
          </rPr>
          <t>plattc:</t>
        </r>
        <r>
          <rPr>
            <sz val="8"/>
            <color indexed="81"/>
            <rFont val="Tahoma"/>
            <family val="2"/>
          </rPr>
          <t xml:space="preserve">
cut and paste from Oct report</t>
        </r>
      </text>
    </comment>
    <comment ref="I364" authorId="0">
      <text>
        <r>
          <rPr>
            <b/>
            <sz val="8"/>
            <color indexed="81"/>
            <rFont val="Tahoma"/>
            <family val="2"/>
          </rPr>
          <t>plattc:</t>
        </r>
        <r>
          <rPr>
            <sz val="8"/>
            <color indexed="81"/>
            <rFont val="Tahoma"/>
            <family val="2"/>
          </rPr>
          <t xml:space="preserve">
Cut and paste from Nov report</t>
        </r>
      </text>
    </comment>
    <comment ref="D397" authorId="0">
      <text>
        <r>
          <rPr>
            <b/>
            <sz val="8"/>
            <color indexed="81"/>
            <rFont val="Tahoma"/>
            <family val="2"/>
          </rPr>
          <t>plattc:</t>
        </r>
        <r>
          <rPr>
            <sz val="8"/>
            <color indexed="81"/>
            <rFont val="Tahoma"/>
            <family val="2"/>
          </rPr>
          <t xml:space="preserve">
Check that these have not changed</t>
        </r>
      </text>
    </comment>
    <comment ref="C421" authorId="0">
      <text>
        <r>
          <rPr>
            <sz val="11"/>
            <color indexed="81"/>
            <rFont val="Tahoma"/>
            <family val="2"/>
          </rPr>
          <t>Next months sharcalc B76</t>
        </r>
      </text>
    </comment>
    <comment ref="C422" authorId="0">
      <text>
        <r>
          <rPr>
            <b/>
            <sz val="10"/>
            <color indexed="81"/>
            <rFont val="Tahoma"/>
            <family val="2"/>
          </rPr>
          <t>plattc:</t>
        </r>
        <r>
          <rPr>
            <sz val="10"/>
            <color indexed="81"/>
            <rFont val="Tahoma"/>
            <family val="2"/>
          </rPr>
          <t xml:space="preserve">
Current waterfalls Inputs!B125 this sequals the balance as at the  end of the monthl + Reserve acct. balance increse for next period - reserve acct principal repayment for next period</t>
        </r>
      </text>
    </comment>
    <comment ref="C423" authorId="0">
      <text>
        <r>
          <rPr>
            <b/>
            <sz val="8"/>
            <color indexed="81"/>
            <rFont val="Tahoma"/>
            <family val="2"/>
          </rPr>
          <t>plattc:</t>
        </r>
        <r>
          <rPr>
            <sz val="8"/>
            <color indexed="81"/>
            <rFont val="Tahoma"/>
            <family val="2"/>
          </rPr>
          <t xml:space="preserve">
From following months  Share calc!B25</t>
        </r>
      </text>
    </comment>
    <comment ref="C424" authorId="0">
      <text>
        <r>
          <rPr>
            <b/>
            <sz val="8"/>
            <color indexed="81"/>
            <rFont val="Tahoma"/>
            <family val="2"/>
          </rPr>
          <t>plattc:</t>
        </r>
        <r>
          <rPr>
            <sz val="8"/>
            <color indexed="81"/>
            <rFont val="Tahoma"/>
            <family val="2"/>
          </rPr>
          <t xml:space="preserve">
From current Share calc</t>
        </r>
      </text>
    </comment>
    <comment ref="C426" authorId="0">
      <text>
        <r>
          <rPr>
            <b/>
            <sz val="8"/>
            <color indexed="81"/>
            <rFont val="Tahoma"/>
            <family val="2"/>
          </rPr>
          <t>plattc:</t>
        </r>
        <r>
          <rPr>
            <sz val="8"/>
            <color indexed="81"/>
            <rFont val="Tahoma"/>
            <family val="2"/>
          </rPr>
          <t xml:space="preserve">
From following months Share calc B77</t>
        </r>
      </text>
    </comment>
    <comment ref="C427" authorId="0">
      <text>
        <r>
          <rPr>
            <b/>
            <sz val="8"/>
            <color indexed="81"/>
            <rFont val="Tahoma"/>
            <family val="2"/>
          </rPr>
          <t>plattc:</t>
        </r>
        <r>
          <rPr>
            <sz val="8"/>
            <color indexed="81"/>
            <rFont val="Tahoma"/>
            <family val="2"/>
          </rPr>
          <t xml:space="preserve">
From  following months Share calc B81</t>
        </r>
      </text>
    </comment>
    <comment ref="C428" authorId="0">
      <text>
        <r>
          <rPr>
            <b/>
            <sz val="8"/>
            <color indexed="81"/>
            <rFont val="Tahoma"/>
            <family val="2"/>
          </rPr>
          <t>plattc:</t>
        </r>
        <r>
          <rPr>
            <sz val="8"/>
            <color indexed="81"/>
            <rFont val="Tahoma"/>
            <family val="2"/>
          </rPr>
          <t xml:space="preserve">
From following months  Share calc B46</t>
        </r>
      </text>
    </comment>
    <comment ref="C429" authorId="0">
      <text>
        <r>
          <rPr>
            <b/>
            <sz val="8"/>
            <color indexed="81"/>
            <rFont val="Tahoma"/>
            <family val="2"/>
          </rPr>
          <t>plattc:</t>
        </r>
        <r>
          <rPr>
            <sz val="8"/>
            <color indexed="81"/>
            <rFont val="Tahoma"/>
            <family val="2"/>
          </rPr>
          <t xml:space="preserve">
From  following months Share calc B85</t>
        </r>
      </text>
    </comment>
    <comment ref="C430" authorId="0">
      <text>
        <r>
          <rPr>
            <b/>
            <sz val="8"/>
            <color indexed="81"/>
            <rFont val="Tahoma"/>
            <family val="2"/>
          </rPr>
          <t>plattc:</t>
        </r>
        <r>
          <rPr>
            <sz val="8"/>
            <color indexed="81"/>
            <rFont val="Tahoma"/>
            <family val="2"/>
          </rPr>
          <t xml:space="preserve">
current Waterfalls shareCalc B190</t>
        </r>
      </text>
    </comment>
    <comment ref="C432" authorId="1">
      <text>
        <r>
          <rPr>
            <b/>
            <sz val="10"/>
            <color indexed="81"/>
            <rFont val="Tahoma"/>
            <family val="2"/>
          </rPr>
          <t>karsondd:</t>
        </r>
        <r>
          <rPr>
            <sz val="10"/>
            <color indexed="81"/>
            <rFont val="Tahoma"/>
            <family val="2"/>
          </rPr>
          <t xml:space="preserve">
Feb 11 Rpt remove Reserve repayment amount 303,028,255 hardcoded in.</t>
        </r>
      </text>
    </comment>
    <comment ref="D447" authorId="0">
      <text>
        <r>
          <rPr>
            <b/>
            <sz val="8"/>
            <color indexed="81"/>
            <rFont val="Tahoma"/>
            <family val="2"/>
          </rPr>
          <t>plattc:</t>
        </r>
        <r>
          <rPr>
            <sz val="8"/>
            <color indexed="81"/>
            <rFont val="Tahoma"/>
            <family val="2"/>
          </rPr>
          <t xml:space="preserve">
from the three monthly trust waterfalls within the quarter. Take from trust waterfalls!B18 onward..
</t>
        </r>
      </text>
    </comment>
    <comment ref="D458" authorId="0">
      <text>
        <r>
          <rPr>
            <b/>
            <sz val="8"/>
            <color indexed="81"/>
            <rFont val="Tahoma"/>
            <family val="2"/>
          </rPr>
          <t>plattc:</t>
        </r>
        <r>
          <rPr>
            <sz val="8"/>
            <color indexed="81"/>
            <rFont val="Tahoma"/>
            <family val="2"/>
          </rPr>
          <t xml:space="preserve">
Trust waterfall!B29</t>
        </r>
      </text>
    </comment>
    <comment ref="D459" authorId="0">
      <text>
        <r>
          <rPr>
            <b/>
            <sz val="8"/>
            <color indexed="81"/>
            <rFont val="Tahoma"/>
            <family val="2"/>
          </rPr>
          <t>plattc:</t>
        </r>
        <r>
          <rPr>
            <sz val="8"/>
            <color indexed="81"/>
            <rFont val="Tahoma"/>
            <family val="2"/>
          </rPr>
          <t xml:space="preserve">
Current trust waterfalls!B44 (cell in pink!)
 </t>
        </r>
      </text>
    </comment>
    <comment ref="D460" authorId="0">
      <text>
        <r>
          <rPr>
            <b/>
            <sz val="8"/>
            <color indexed="81"/>
            <rFont val="Tahoma"/>
            <family val="2"/>
          </rPr>
          <t>plattc:</t>
        </r>
        <r>
          <rPr>
            <sz val="8"/>
            <color indexed="81"/>
            <rFont val="Tahoma"/>
            <family val="2"/>
          </rPr>
          <t xml:space="preserve">
Current trust waterfalls!B39</t>
        </r>
      </text>
    </comment>
    <comment ref="D461" authorId="0">
      <text>
        <r>
          <rPr>
            <b/>
            <sz val="8"/>
            <color indexed="81"/>
            <rFont val="Tahoma"/>
            <family val="2"/>
          </rPr>
          <t>plattc:</t>
        </r>
        <r>
          <rPr>
            <sz val="8"/>
            <color indexed="81"/>
            <rFont val="Tahoma"/>
            <family val="2"/>
          </rPr>
          <t xml:space="preserve">
current waterfalls!B40
</t>
        </r>
      </text>
    </comment>
    <comment ref="D462" authorId="0">
      <text>
        <r>
          <rPr>
            <b/>
            <sz val="8"/>
            <color indexed="81"/>
            <rFont val="Tahoma"/>
            <family val="2"/>
          </rPr>
          <t>plattc:</t>
        </r>
        <r>
          <rPr>
            <sz val="8"/>
            <color indexed="81"/>
            <rFont val="Tahoma"/>
            <family val="2"/>
          </rPr>
          <t xml:space="preserve">
current trust waterfalls!B41</t>
        </r>
      </text>
    </comment>
    <comment ref="B684" authorId="0">
      <text>
        <r>
          <rPr>
            <b/>
            <sz val="8"/>
            <color indexed="81"/>
            <rFont val="Tahoma"/>
            <family val="2"/>
          </rPr>
          <t>plattc:</t>
        </r>
        <r>
          <rPr>
            <sz val="8"/>
            <color indexed="81"/>
            <rFont val="Tahoma"/>
            <family val="2"/>
          </rPr>
          <t xml:space="preserve">
from the previous funding waterfall ! B188</t>
        </r>
      </text>
    </comment>
    <comment ref="B693" authorId="0">
      <text>
        <r>
          <rPr>
            <b/>
            <sz val="8"/>
            <color indexed="81"/>
            <rFont val="Tahoma"/>
            <family val="2"/>
          </rPr>
          <t>plattc:</t>
        </r>
        <r>
          <rPr>
            <sz val="8"/>
            <color indexed="81"/>
            <rFont val="Tahoma"/>
            <family val="2"/>
          </rPr>
          <t xml:space="preserve">
Closing balance from previous quarterly report</t>
        </r>
      </text>
    </comment>
    <comment ref="B694" authorId="0">
      <text>
        <r>
          <rPr>
            <b/>
            <sz val="12"/>
            <color indexed="81"/>
            <rFont val="Tahoma"/>
            <family val="2"/>
          </rPr>
          <t>plattc:</t>
        </r>
        <r>
          <rPr>
            <sz val="12"/>
            <color indexed="81"/>
            <rFont val="Tahoma"/>
            <family val="2"/>
          </rPr>
          <t xml:space="preserve">
if any addition to the fund has taken place the Formal document 'utilisation request' has this amount on it.</t>
        </r>
      </text>
    </comment>
    <comment ref="B695" authorId="0">
      <text>
        <r>
          <rPr>
            <b/>
            <sz val="8"/>
            <color indexed="81"/>
            <rFont val="Tahoma"/>
            <family val="2"/>
          </rPr>
          <t>plattc:</t>
        </r>
        <r>
          <rPr>
            <sz val="8"/>
            <color indexed="81"/>
            <rFont val="Tahoma"/>
            <family val="2"/>
          </rPr>
          <t xml:space="preserve">
trust waterfalls!B75</t>
        </r>
      </text>
    </comment>
    <comment ref="B696" authorId="0">
      <text>
        <r>
          <rPr>
            <b/>
            <sz val="8"/>
            <color indexed="81"/>
            <rFont val="Tahoma"/>
            <family val="2"/>
          </rPr>
          <t>plattc:</t>
        </r>
        <r>
          <rPr>
            <sz val="8"/>
            <color indexed="81"/>
            <rFont val="Tahoma"/>
            <family val="2"/>
          </rPr>
          <t xml:space="preserve">
trust waterfalls!B78</t>
        </r>
      </text>
    </comment>
    <comment ref="B697" authorId="0">
      <text>
        <r>
          <rPr>
            <b/>
            <sz val="8"/>
            <color indexed="81"/>
            <rFont val="Tahoma"/>
            <family val="2"/>
          </rPr>
          <t>plattc:</t>
        </r>
        <r>
          <rPr>
            <sz val="8"/>
            <color indexed="81"/>
            <rFont val="Tahoma"/>
            <family val="2"/>
          </rPr>
          <t xml:space="preserve">
Trust waterfalls!B79</t>
        </r>
      </text>
    </comment>
    <comment ref="C709" authorId="2">
      <text>
        <r>
          <rPr>
            <b/>
            <sz val="8"/>
            <color indexed="81"/>
            <rFont val="Tahoma"/>
            <family val="2"/>
          </rPr>
          <t>deenf:</t>
        </r>
        <r>
          <rPr>
            <sz val="8"/>
            <color indexed="81"/>
            <rFont val="Tahoma"/>
            <family val="2"/>
          </rPr>
          <t xml:space="preserve">
cell ref: B56 </t>
        </r>
      </text>
    </comment>
    <comment ref="C710" authorId="2">
      <text>
        <r>
          <rPr>
            <b/>
            <sz val="8"/>
            <color indexed="81"/>
            <rFont val="Tahoma"/>
            <family val="2"/>
          </rPr>
          <t>deenf:</t>
        </r>
        <r>
          <rPr>
            <sz val="8"/>
            <color indexed="81"/>
            <rFont val="Tahoma"/>
            <family val="2"/>
          </rPr>
          <t xml:space="preserve">
Cell ref:  B62</t>
        </r>
      </text>
    </comment>
    <comment ref="C711" authorId="2">
      <text>
        <r>
          <rPr>
            <b/>
            <sz val="8"/>
            <color indexed="81"/>
            <rFont val="Tahoma"/>
            <family val="2"/>
          </rPr>
          <t>deenf:</t>
        </r>
        <r>
          <rPr>
            <sz val="8"/>
            <color indexed="81"/>
            <rFont val="Tahoma"/>
            <family val="2"/>
          </rPr>
          <t xml:space="preserve">
trust waterfall Jan 
</t>
        </r>
      </text>
    </comment>
    <comment ref="C712" authorId="3">
      <text>
        <r>
          <rPr>
            <b/>
            <sz val="8"/>
            <color indexed="81"/>
            <rFont val="Tahoma"/>
            <family val="2"/>
          </rPr>
          <t>klidonam:</t>
        </r>
        <r>
          <rPr>
            <sz val="8"/>
            <color indexed="81"/>
            <rFont val="Tahoma"/>
            <family val="2"/>
          </rPr>
          <t xml:space="preserve">
See MRCLN section, top of Inputs Page in Trust Waterfalls workbook</t>
        </r>
      </text>
    </comment>
    <comment ref="D729" authorId="0">
      <text>
        <r>
          <rPr>
            <b/>
            <sz val="8"/>
            <color indexed="81"/>
            <rFont val="Tahoma"/>
            <family val="2"/>
          </rPr>
          <t>plattc:</t>
        </r>
        <r>
          <rPr>
            <sz val="8"/>
            <color indexed="81"/>
            <rFont val="Tahoma"/>
            <family val="2"/>
          </rPr>
          <t xml:space="preserve">
for 16 days  the value of the trust was 5.73 then we added (on th e6'th of June)  for the remaining 75 days of th e91 day period the balance was ~ 11</t>
        </r>
      </text>
    </comment>
    <comment ref="B735" authorId="3">
      <text>
        <r>
          <rPr>
            <b/>
            <sz val="8"/>
            <color indexed="81"/>
            <rFont val="Tahoma"/>
            <family val="2"/>
          </rPr>
          <t>klidonam:</t>
        </r>
        <r>
          <rPr>
            <sz val="8"/>
            <color indexed="81"/>
            <rFont val="Tahoma"/>
            <family val="2"/>
          </rPr>
          <t xml:space="preserve">
NOT FINAL</t>
        </r>
      </text>
    </comment>
  </commentList>
</comments>
</file>

<file path=xl/comments2.xml><?xml version="1.0" encoding="utf-8"?>
<comments xmlns="http://schemas.openxmlformats.org/spreadsheetml/2006/main">
  <authors>
    <author>klidonam</author>
  </authors>
  <commentList>
    <comment ref="A1" authorId="0">
      <text>
        <r>
          <rPr>
            <b/>
            <sz val="8"/>
            <color indexed="81"/>
            <rFont val="Tahoma"/>
            <family val="2"/>
          </rPr>
          <t>klidonam:</t>
        </r>
        <r>
          <rPr>
            <sz val="8"/>
            <color indexed="81"/>
            <rFont val="Tahoma"/>
            <family val="2"/>
          </rPr>
          <t xml:space="preserve">
Insert Conditional Word Formating
</t>
        </r>
      </text>
    </comment>
    <comment ref="A17" authorId="0">
      <text>
        <r>
          <rPr>
            <b/>
            <sz val="8"/>
            <color indexed="81"/>
            <rFont val="Tahoma"/>
            <family val="2"/>
          </rPr>
          <t>klidonam:</t>
        </r>
        <r>
          <rPr>
            <sz val="8"/>
            <color indexed="81"/>
            <rFont val="Tahoma"/>
            <family val="2"/>
          </rPr>
          <t xml:space="preserve">
LOCK CELLS
</t>
        </r>
      </text>
    </comment>
  </commentList>
</comments>
</file>

<file path=xl/sharedStrings.xml><?xml version="1.0" encoding="utf-8"?>
<sst xmlns="http://schemas.openxmlformats.org/spreadsheetml/2006/main" count="2713" uniqueCount="1123">
  <si>
    <t>Total Principal due</t>
  </si>
  <si>
    <t>GMF 09-1</t>
  </si>
  <si>
    <t>The common funding reserve required amount will increase if an arrears or step-up trigger event occurs.</t>
  </si>
  <si>
    <t>Rating Requirements</t>
  </si>
  <si>
    <t>Account bank minimum ratings</t>
  </si>
  <si>
    <t>F1</t>
  </si>
  <si>
    <t>MRCLN collateral provision minimum rating</t>
  </si>
  <si>
    <t>Baa3</t>
  </si>
  <si>
    <t>Funding Liquidity Reserve Fund establishment trigger</t>
  </si>
  <si>
    <t>£</t>
  </si>
  <si>
    <t>A7</t>
  </si>
  <si>
    <t>A1</t>
  </si>
  <si>
    <t>A2</t>
  </si>
  <si>
    <t>A4</t>
  </si>
  <si>
    <t>A5</t>
  </si>
  <si>
    <t>A6</t>
  </si>
  <si>
    <t>B1</t>
  </si>
  <si>
    <t>B3</t>
  </si>
  <si>
    <t>B4</t>
  </si>
  <si>
    <t>C1</t>
  </si>
  <si>
    <t>C3</t>
  </si>
  <si>
    <t>C4</t>
  </si>
  <si>
    <t>D2</t>
  </si>
  <si>
    <t>for 12 days  the value of the trust was 6.969 then we added (on the on th e1st of September).  For the remaining 80 days of the 92 day period the balance was ~ 19.023</t>
  </si>
  <si>
    <t>GMF 09 Addition</t>
  </si>
  <si>
    <t xml:space="preserve">Supplementary Calculations </t>
  </si>
  <si>
    <t>D3</t>
  </si>
  <si>
    <t>D4</t>
  </si>
  <si>
    <t>Issuer Payment Date</t>
  </si>
  <si>
    <t xml:space="preserve">Change in the Common Funding Reserve balance: </t>
  </si>
  <si>
    <t>Short-Term</t>
  </si>
  <si>
    <t>Long-term</t>
  </si>
  <si>
    <t>A+</t>
  </si>
  <si>
    <t>Subsequent Downgrade Event</t>
  </si>
  <si>
    <t>P-2</t>
  </si>
  <si>
    <t>F2</t>
  </si>
  <si>
    <t>BBB+</t>
  </si>
  <si>
    <t>Second Subsequent Downgrade Event</t>
  </si>
  <si>
    <t>USD &amp; EUR STG EQUIV PAYMENT TO BARCAP</t>
  </si>
  <si>
    <t>2015-4</t>
  </si>
  <si>
    <t xml:space="preserve">On 1st November 2010, Gracechurch Mortgage Financing PLC was subject to a restructure which saw all of the Series 2009-1 Notes redeemed (these Notes had been retained by Barclays). </t>
  </si>
  <si>
    <t>As a result of this restructure, the Seller Share has now increased to 46.45% and the most junior Notes (Class D) have increased credit enhancement of 12.40%.</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</si>
  <si>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</si>
  <si>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</si>
  <si>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</si>
  <si>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</si>
  <si>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</si>
  <si>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</si>
  <si>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</si>
  <si>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</si>
  <si>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</si>
  <si>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</si>
  <si>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MRCLN Revenue receipts</t>
  </si>
  <si>
    <t>Current Shortfall</t>
  </si>
  <si>
    <t>Mortgage Accounts added since mortgages trust establishment date</t>
  </si>
  <si>
    <t>Constant Payment Rate</t>
  </si>
  <si>
    <t>Trust Calculation Period</t>
  </si>
  <si>
    <t>Period</t>
  </si>
  <si>
    <t>Annualised</t>
  </si>
  <si>
    <t>CPR rate over the period including repurchases</t>
  </si>
  <si>
    <t>CPR rate over the period excluding repurchases</t>
  </si>
  <si>
    <r>
      <t>An "</t>
    </r>
    <r>
      <rPr>
        <b/>
        <sz val="10"/>
        <rFont val="Barclays Sans"/>
        <family val="2"/>
      </rPr>
      <t>asset trigger event</t>
    </r>
    <r>
      <rPr>
        <sz val="10"/>
        <rFont val="Barclays Sans"/>
        <family val="2"/>
      </rPr>
      <t>" occurs when amounts are debited to any class A funding principal deficiency sub-ledger.</t>
    </r>
  </si>
  <si>
    <t>No asset trigger event has occurred</t>
  </si>
  <si>
    <t>No non-asset trigger event has occurred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</si>
  <si>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</si>
  <si>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</si>
  <si>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</si>
  <si>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</si>
  <si>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</si>
  <si>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</si>
  <si>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</si>
  <si>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</si>
  <si>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</si>
  <si>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</si>
  <si>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</si>
  <si>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</si>
  <si>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</si>
  <si>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</si>
  <si>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 xml:space="preserve">AA- </t>
  </si>
  <si>
    <t>0 - 1.99%</t>
  </si>
  <si>
    <t>2 - 2.99%</t>
  </si>
  <si>
    <t>3 - 3.99%</t>
  </si>
  <si>
    <t>2014-1</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</si>
  <si>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</si>
  <si>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</si>
  <si>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</si>
  <si>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</si>
  <si>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</si>
  <si>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</si>
  <si>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</si>
  <si>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</si>
  <si>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Actual Amortisation</t>
  </si>
  <si>
    <t>Total  paid</t>
  </si>
  <si>
    <t>Original loan to value ratio</t>
  </si>
  <si>
    <t>Original LTV (%)</t>
  </si>
  <si>
    <t>Current indexed loan to value ratio</t>
  </si>
  <si>
    <t>£100,000 - £150,000</t>
  </si>
  <si>
    <t>BBB</t>
  </si>
  <si>
    <t>Stuart Aiken, Barclays Treasury,
e-mail: stuart.aiken@barclaystreasury.com
tel:+44 (0)20 777 35584</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</si>
  <si>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Enforcmenent  Revenue Priority of Payments does however instead include GBP equivalent payments due to the cross-currency swap counterparty in respect of USD and EUR notes' interest amounts due.</t>
    </r>
  </si>
  <si>
    <t>Original Principal Amount (£ eq.)</t>
  </si>
  <si>
    <t>Bond Amortisation (£ eq.)</t>
  </si>
  <si>
    <t>Principal Amount to be called (£ eq.)</t>
  </si>
  <si>
    <t xml:space="preserve">Amount </t>
  </si>
  <si>
    <t xml:space="preserve">From </t>
  </si>
  <si>
    <t xml:space="preserve">Account </t>
  </si>
  <si>
    <t xml:space="preserve">To </t>
  </si>
  <si>
    <t xml:space="preserve">GBP PAYMENT TO BONY </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</si>
  <si>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</si>
  <si>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</si>
  <si>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</si>
  <si>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</si>
  <si>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</si>
  <si>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</si>
  <si>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</si>
  <si>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iii) Barclays role as administrator is terminated and no new administrator is appointed ; and/or    </t>
  </si>
  <si>
    <t xml:space="preserve">ii) An MRCLN event of default occured which is continuing and not waived by the mortgages trustee; and/or     </t>
  </si>
  <si>
    <t xml:space="preserve">iv) the current seller share is equal to or less than the minimum seller share for two consecutive distribution dates     </t>
  </si>
  <si>
    <t xml:space="preserve">i) an insolvency event occurs in relation to Barclays; and/or      </t>
  </si>
  <si>
    <t xml:space="preserve">Principal Amount Outstanding as at the end of Interest Period less Target Balance/ (Cumulative Principal Shortfall)    </t>
  </si>
  <si>
    <t xml:space="preserve">Principal Amount Outstanding as at the end of Interest Period less Target Balance/ (Cumulative Principal Shortfall)     </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</si>
  <si>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</si>
  <si>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</si>
  <si>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Excess Spread</t>
  </si>
  <si>
    <t>INVESTORS QUARTERLY REPORT</t>
  </si>
  <si>
    <t>GRACECHURCH MORTGAGE FINANCING PLC</t>
  </si>
  <si>
    <t>Interest Period Start</t>
  </si>
  <si>
    <t>Interest Period Ended</t>
  </si>
  <si>
    <t xml:space="preserve">Interest received on the Mortgage Trustee Transaction Account 
    </t>
  </si>
  <si>
    <t>and Interest received on the Mortgage Trustee GIC Account</t>
  </si>
  <si>
    <t xml:space="preserve">less Third Party Amounts </t>
  </si>
  <si>
    <t>Mortgages Trust Pre-Enforcement Revenue Priority of Payments</t>
  </si>
  <si>
    <t>MRCLN collateral release amount</t>
  </si>
  <si>
    <t>Transaction party expenses</t>
  </si>
  <si>
    <t>Revenue Receipts to Seller</t>
  </si>
  <si>
    <t>Revenue Receipts to Funding</t>
  </si>
  <si>
    <t>Accounts of more than 90 days in arrears</t>
  </si>
  <si>
    <r>
      <t>An ‘‘</t>
    </r>
    <r>
      <rPr>
        <b/>
        <sz val="10"/>
        <rFont val="Barclays Sans"/>
        <family val="2"/>
      </rPr>
      <t>early redemption event</t>
    </r>
    <r>
      <rPr>
        <sz val="10"/>
        <rFont val="Barclays Sans"/>
        <family val="2"/>
      </rPr>
      <t>’’ means the occurrence of a trigger event and, with respect to a loan
note tranche, any other event specified as such in the supplement to global loan note no.1 for such
loan note tranche.</t>
    </r>
  </si>
  <si>
    <t>No early redemption event has occurred</t>
  </si>
  <si>
    <t>Total</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</si>
  <si>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</si>
  <si>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</si>
  <si>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</si>
  <si>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</si>
  <si>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</si>
  <si>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</si>
  <si>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</si>
  <si>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</si>
  <si>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</si>
  <si>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</si>
  <si>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</si>
  <si>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</si>
  <si>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</si>
  <si>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Trustees Limited</t>
  </si>
  <si>
    <r>
      <t>An ‘‘</t>
    </r>
    <r>
      <rPr>
        <b/>
        <sz val="10"/>
        <rFont val="Barclays Sans"/>
        <family val="2"/>
      </rPr>
      <t>arrears or step-up trigger event</t>
    </r>
    <r>
      <rPr>
        <sz val="10"/>
        <rFont val="Barclays Sans"/>
        <family val="2"/>
      </rPr>
      <t>’’ occurs when the aggregate current balance of the mortgage accounts where the corresponding loans are then in arrears for at least 3 months exceeds more than 2% of the aggregate current balance of all mortgage accounts in the mortgages trust.</t>
    </r>
  </si>
  <si>
    <t>There are no material legal proceedings against any of the Gracechurch Mortgage Financing entities or the Mortgages Trustee.</t>
  </si>
  <si>
    <t>Gracechurch GMF MT share trustee, Gracechurch GMF IB share trustee</t>
  </si>
  <si>
    <t>Bedell UK Limited</t>
  </si>
  <si>
    <t>Funding Corporate Services Provider</t>
  </si>
  <si>
    <t>Securitisations Manager:
jayne.mclernon@barclays.com, and
Ross.aucutt@barclaysgt.com</t>
  </si>
  <si>
    <t>The Bank of New York
FAO Corporate Trust Services/Global Structured Finance
ilanbass@bankofny.com
helenkim@bankofny.com</t>
  </si>
  <si>
    <t>i)Interest rate</t>
  </si>
  <si>
    <t>ii)Interest amount</t>
  </si>
  <si>
    <t>iii)Deferred Interest (if any)</t>
  </si>
  <si>
    <t>iv)Additional Interest (if any)</t>
  </si>
  <si>
    <t>Interest Notifications (Base Prospectus)</t>
  </si>
  <si>
    <t>Paying Agent/ Agent Bank</t>
  </si>
  <si>
    <t>issuerimplementation@londonstockexchange.com</t>
  </si>
  <si>
    <t>Issuer Cash Management Agrmt</t>
  </si>
  <si>
    <t>Mortgages Trustee Cash Manager/
 Issuer Cash Manager</t>
  </si>
  <si>
    <t>INTERNAL NOTIFICATIONS</t>
  </si>
  <si>
    <t>Issuer Interest Period Start</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</si>
  <si>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</si>
  <si>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</si>
  <si>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</si>
  <si>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</si>
  <si>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</si>
  <si>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</si>
  <si>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</si>
  <si>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</si>
  <si>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</si>
  <si>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</si>
  <si>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</si>
  <si>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</si>
  <si>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</si>
  <si>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</si>
  <si>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</si>
  <si>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</si>
  <si>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</si>
  <si>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</si>
  <si>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</si>
  <si>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</si>
  <si>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</si>
  <si>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</si>
  <si>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</si>
  <si>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</si>
  <si>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</si>
  <si>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</si>
  <si>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</si>
  <si>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</si>
  <si>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</si>
  <si>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</si>
  <si>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</si>
  <si>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</si>
  <si>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</si>
  <si>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</si>
  <si>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</si>
  <si>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</si>
  <si>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</si>
  <si>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</si>
  <si>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</si>
  <si>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</si>
  <si>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</si>
  <si>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FX Rate</t>
  </si>
  <si>
    <t xml:space="preserve">Bond Structure </t>
  </si>
  <si>
    <t xml:space="preserve">FX Rate </t>
  </si>
  <si>
    <t>GLOSSARY</t>
  </si>
  <si>
    <t xml:space="preserve">USD PAYMENT TO BONY </t>
  </si>
  <si>
    <t xml:space="preserve">EUR PAYMENT TO BONY </t>
  </si>
  <si>
    <t>Account Name: The Bank of New York, Brussels
Deutsche Bank, Frankfurt
Account Number: 922 1292 00
Swift: DEUTDEFF
Ref: CT/Lburman - Re GMF 07-1 Euro amounts due</t>
  </si>
  <si>
    <t>Sales with Shortfalls On Sale Since Trust Establishment</t>
  </si>
  <si>
    <t>2013-4</t>
  </si>
  <si>
    <t>2018-4</t>
  </si>
  <si>
    <t>Value Recovered</t>
  </si>
  <si>
    <t>Recoveries After Sale</t>
  </si>
  <si>
    <t>Aa3</t>
  </si>
  <si>
    <t>F3</t>
  </si>
  <si>
    <t>No basis or cross-currency swap downgrade events have occurred</t>
  </si>
  <si>
    <t>Current Balance -Mortgage Loans</t>
  </si>
  <si>
    <t>Current Balance - MRCLN</t>
  </si>
  <si>
    <t>Funding share</t>
  </si>
  <si>
    <t>Funding 2 share</t>
  </si>
  <si>
    <t>Funding and Funding 2 share</t>
  </si>
  <si>
    <t>2011-3</t>
  </si>
  <si>
    <t>2011-4</t>
  </si>
  <si>
    <t>2012-1</t>
  </si>
  <si>
    <t>2012-2</t>
  </si>
  <si>
    <t>2014-3</t>
  </si>
  <si>
    <t>2015-3</t>
  </si>
  <si>
    <t>2016-1</t>
  </si>
  <si>
    <t>2016-2</t>
  </si>
  <si>
    <t>2016-3</t>
  </si>
  <si>
    <t>2016-4</t>
  </si>
  <si>
    <t>2017-1</t>
  </si>
  <si>
    <t>2017-2</t>
  </si>
  <si>
    <t>Repayment terms</t>
  </si>
  <si>
    <t>Test on pool before additions</t>
  </si>
  <si>
    <t>Maximum Loans Balance transferred</t>
  </si>
  <si>
    <t>Loan Balance transferred</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</si>
  <si>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</si>
  <si>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</si>
  <si>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</si>
  <si>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</si>
  <si>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</si>
  <si>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</si>
  <si>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</si>
  <si>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</si>
  <si>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</si>
  <si>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</si>
  <si>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</si>
  <si>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</si>
  <si>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</si>
  <si>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</si>
  <si>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</si>
  <si>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</si>
  <si>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</si>
  <si>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</si>
  <si>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</si>
  <si>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</si>
  <si>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</si>
  <si>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</si>
  <si>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</si>
  <si>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</si>
  <si>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</si>
  <si>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</si>
  <si>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</si>
  <si>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</si>
  <si>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</si>
  <si>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</si>
  <si>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</si>
  <si>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h) common funding reserve fund and segregated funding reserve fund fully  funded on the relevant assignment date</t>
  </si>
  <si>
    <t>Notifications prior to IPD only</t>
  </si>
  <si>
    <t>Notifications post IPD and Quarterly Report</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</si>
  <si>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</si>
  <si>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</si>
  <si>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</si>
  <si>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</si>
  <si>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</si>
  <si>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</si>
  <si>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</si>
  <si>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</si>
  <si>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</si>
  <si>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</si>
  <si>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</si>
  <si>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</si>
  <si>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</si>
  <si>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</si>
  <si>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</si>
  <si>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</si>
  <si>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</si>
  <si>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</si>
  <si>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</si>
  <si>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</si>
  <si>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</si>
  <si>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</si>
  <si>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</si>
  <si>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</si>
  <si>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</si>
  <si>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</si>
  <si>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</si>
  <si>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</si>
  <si>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</si>
  <si>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</si>
  <si>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</si>
  <si>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</si>
  <si>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</si>
  <si>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</si>
  <si>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</si>
  <si>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</si>
  <si>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</si>
  <si>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</si>
  <si>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</si>
  <si>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</si>
  <si>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</si>
  <si>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</si>
  <si>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</si>
  <si>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</si>
  <si>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</si>
  <si>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</si>
  <si>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</si>
  <si>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</si>
  <si>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</si>
  <si>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</si>
  <si>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</si>
  <si>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</si>
  <si>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</si>
  <si>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</si>
  <si>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</si>
  <si>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</si>
  <si>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</si>
  <si>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</si>
  <si>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</si>
  <si>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</si>
  <si>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</si>
  <si>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</si>
  <si>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</si>
  <si>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</si>
  <si>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</si>
  <si>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</si>
  <si>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</si>
  <si>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</si>
  <si>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</si>
  <si>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</si>
  <si>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</si>
  <si>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</si>
  <si>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</si>
  <si>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</si>
  <si>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</si>
  <si>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</si>
  <si>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</si>
  <si>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</si>
  <si>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</si>
  <si>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</si>
  <si>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</si>
  <si>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</si>
  <si>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</si>
  <si>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 xml:space="preserve">    (I) Mortgage Account WAFF after new account addition</t>
  </si>
  <si>
    <t>Potential Loss post-addition (I  times II)</t>
  </si>
  <si>
    <t>k) Potential Loss test</t>
  </si>
  <si>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</si>
  <si>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</si>
  <si>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</si>
  <si>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</si>
  <si>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</si>
  <si>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</si>
  <si>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</si>
  <si>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The ‘‘monthly CPR’’ means, on any trust determination date, the sum of the aggregate amount of mortgages trust principal receipts received by the mortgages trustee during the immediately preceding trust calculation period less the aggregate mortgage reserve debt principal balancing amount for such trust calculation period (as defined in the Base Prospectus), divided by the sum of the aggregate outstanding principal balance of the mortgage loans included in the mortgage loan portfolio as at the immediately preceding trust determination date and the outstanding principal balance of the MRCLN as at the immediately preceding trust determination date.</t>
  </si>
  <si>
    <t>Analysis of Transaction Triggers, Restrictions and Tests</t>
  </si>
  <si>
    <t>Analysis of Outstanding Notes</t>
  </si>
  <si>
    <t>Class C</t>
  </si>
  <si>
    <t>Class D</t>
  </si>
  <si>
    <t>The excess spread is calculated as the difference between i) Funding Available Revenue Receipts and ii)the sum of items a) through and including  r) (Common Funding Reserve Ledger replenishment) of the Funding Pre-enforecement Revenue Priority of Payments</t>
  </si>
  <si>
    <t>Funding Interest Period</t>
  </si>
  <si>
    <t>Issuer Interest Period</t>
  </si>
  <si>
    <t>Junior Payments</t>
  </si>
  <si>
    <t>Subordination Calculation</t>
  </si>
  <si>
    <t>Available subordination percentage</t>
  </si>
  <si>
    <t xml:space="preserve">3 month USD Libor </t>
  </si>
  <si>
    <t>Barclays Bank plc - Treasury</t>
  </si>
  <si>
    <t>Aucutt, Ross: Barclays Treasury (LDN);
Data Center, lewtan; 
GH Peters, bloomberg; 
Helen Kim, BONY; 
Ideiacouo, bloomberg; 
Ilan Bass, BONY; 
Jayne Mclernon, HF; 
Jean Walsh, bedell; 
Joanna Kyritsi, S&amp;P; 
John Ventress, Bedell; 
Kilday, Steven, Barclays PLC; 
Monitor RMBS, Moodys; 
Rebecca Bates, Bedell; 
Sean Hannigan, S&amp;P; 
SF Surveillance, Fitch; 
Vishal Patel, HF</t>
  </si>
  <si>
    <t>Jean.Walsh@bedellgroup.com
Rebecca.Bates@bedellgroup.com
jayne.mclernon@barclays.com, and
Ross.aucutt@barclaysgt.com
vishal.patel@barclays.com
John.Ventress@bedellgroup.com
ilanbass@bankofny.com
helenkim@bankofny.com
Monitor.RMBS@moodys.com
ioanna-victoria_kyritsi@standardandpoors.com
Sean_Hannigan@standardandpoors.com
sf_surveillance@fitchratings.com
ldeiacouo@bloomberg.net
ghpeters@bloomberg.net
datacenter@lewtan.com</t>
  </si>
  <si>
    <t>Issuer</t>
  </si>
  <si>
    <t>MT available revenue receipts distributed to funding</t>
  </si>
  <si>
    <t>Funding Security Trustee</t>
  </si>
  <si>
    <t>Issuer Security Trustee</t>
  </si>
  <si>
    <t>FAO Structured Finance Group
'Monitor.RMBS@moodys.com'</t>
  </si>
  <si>
    <t>Issuer Corporate Services Provider</t>
  </si>
  <si>
    <t>Pre-Security Enforcement Revenue Priority of Payments</t>
  </si>
  <si>
    <t>Notify below by 2 business days before payment date:</t>
  </si>
  <si>
    <t>Reuters</t>
  </si>
  <si>
    <t>Principal Notifications</t>
  </si>
  <si>
    <t>2015-2</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</si>
  <si>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</si>
  <si>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</si>
  <si>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</si>
  <si>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</si>
  <si>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No funding liquidity reserve fund to be established - Barclays ratings above A3 by Moody's and A- by Fitch</t>
  </si>
  <si>
    <t>Series 2006-1</t>
  </si>
  <si>
    <t>ISIN</t>
  </si>
  <si>
    <t>US38405JAA79</t>
  </si>
  <si>
    <t>XSO273839471</t>
  </si>
  <si>
    <t>XS0273763556</t>
  </si>
  <si>
    <t>US38405JAD19</t>
  </si>
  <si>
    <t>XS0273840305</t>
  </si>
  <si>
    <t>US38405JAH23</t>
  </si>
  <si>
    <t>XS0273846500</t>
  </si>
  <si>
    <t>Common Code</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</si>
  <si>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</si>
  <si>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Structured Finance Management Limited</t>
  </si>
  <si>
    <t>PORTFOLIO STRATIFICATION TABLES</t>
  </si>
  <si>
    <t>Mortgage Accounts repurchased since mortgages trust establishment date</t>
  </si>
  <si>
    <t>2009-1-B</t>
  </si>
  <si>
    <t>2009-1-C</t>
  </si>
  <si>
    <t>2009-1-D</t>
  </si>
  <si>
    <t>Total Outstanding</t>
  </si>
  <si>
    <t>Target Balance per class</t>
  </si>
  <si>
    <t>2044</t>
  </si>
  <si>
    <t>2014-2</t>
  </si>
  <si>
    <t>2014-4</t>
  </si>
  <si>
    <t>Right to Buy</t>
  </si>
  <si>
    <t>n/a</t>
  </si>
  <si>
    <t>2009-1-A</t>
  </si>
  <si>
    <t>Barclays satisfies all the above rating requirements</t>
  </si>
  <si>
    <t>Basis Swap and Cross-Currency Swap Downgrade Events</t>
  </si>
  <si>
    <t>* £303m of this excess spread results from a reduction in the Common Funding Reserve from £428m to £125m, reflecting agency requirements in respect of the reduced liabilities of the trust and increased credit enhancement (the limited recourse Z-loan).</t>
  </si>
  <si>
    <t>* NB - as per the 1st November restructure, the 2009-1 Notes were agreed to be redeemed at par without accrued interest resulting in increased</t>
  </si>
  <si>
    <t>excess spread for this period.</t>
  </si>
  <si>
    <t>Common Funding Reserve Ledger</t>
  </si>
  <si>
    <t>Currency</t>
  </si>
  <si>
    <t>USD</t>
  </si>
  <si>
    <t>EUR</t>
  </si>
  <si>
    <t>GBP</t>
  </si>
  <si>
    <t>Moody's</t>
  </si>
  <si>
    <t>S&amp;P</t>
  </si>
  <si>
    <t>Fitch</t>
  </si>
  <si>
    <t>Conditons for new mortgage loan tests</t>
  </si>
  <si>
    <t xml:space="preserve">Comments: </t>
  </si>
  <si>
    <t>% of arrears interest</t>
  </si>
  <si>
    <t>a) Historic interest arrears</t>
  </si>
  <si>
    <t>Min Rating Level</t>
  </si>
  <si>
    <t>A-</t>
  </si>
  <si>
    <t>BBB-</t>
  </si>
  <si>
    <t>AA+</t>
  </si>
  <si>
    <t>AA</t>
  </si>
  <si>
    <t>Current Rating Level</t>
  </si>
  <si>
    <t>CONDITIONS FOR NEW LOANS MET?</t>
  </si>
  <si>
    <t>Test Pass/Fail</t>
  </si>
  <si>
    <t>b) S&amp;P and Fitch ratings</t>
  </si>
  <si>
    <t>c) Moody's ratings</t>
  </si>
  <si>
    <t>A3</t>
  </si>
  <si>
    <t>Aa1</t>
  </si>
  <si>
    <t xml:space="preserve">(i) </t>
  </si>
  <si>
    <t>(ii) If Ratings lower than min</t>
  </si>
  <si>
    <t>(i)</t>
  </si>
  <si>
    <t>g) Maximum loans transferred</t>
  </si>
  <si>
    <t>see p.137/138 of base prospectus</t>
  </si>
  <si>
    <t>d) 3 months arrears test</t>
  </si>
  <si>
    <t>Aggregate Mortgage Account Current Balance as of Assignment Date</t>
  </si>
  <si>
    <t>Company Secretary, Barcosec
Stephen Kilday 
steven.kilday1@GROUPLOMB.Barclays.co.uk
and (not necessary under FCMA)
Bedell Trust UK Ltd
John.Ventress@bedellgroup.com</t>
  </si>
  <si>
    <t>Standard &amp; Poor’s Ratings Services</t>
  </si>
  <si>
    <t xml:space="preserve">FAO Structured Finance
ioanna-victoria_kyritsi@standardandpoors.com / Sean_Hannigan@standardandpoors.com
</t>
  </si>
  <si>
    <t>FAO Structured Finance - Surveillance
sf_surveillance@fitchratings.com - To be confirmed</t>
  </si>
  <si>
    <t>Quarterly Report additional addresses</t>
  </si>
  <si>
    <t>Include in Quarterly Report</t>
  </si>
  <si>
    <t>Basis Rate Swap Agreement</t>
  </si>
  <si>
    <t>Cross-Currency Swap Agreement</t>
  </si>
  <si>
    <t>No</t>
  </si>
  <si>
    <t>Funding Share Percentage</t>
  </si>
  <si>
    <t>i) principal due under each note</t>
  </si>
  <si>
    <t>ii) principal amount outstanding under each note</t>
  </si>
  <si>
    <t>iii) Pool factor = Amount outstanding under each note/ minimum denomination for each note</t>
  </si>
  <si>
    <t>Fixed</t>
  </si>
  <si>
    <t>Standard Variable</t>
  </si>
  <si>
    <t>Tracker</t>
  </si>
  <si>
    <t>LSE</t>
  </si>
  <si>
    <t>Notify below by 7 days after payment date:</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</si>
  <si>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</si>
  <si>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US38405JCC18</t>
  </si>
  <si>
    <t>US38405JCD90</t>
  </si>
  <si>
    <t>US38405JCE73</t>
  </si>
  <si>
    <t>US38405JCF49</t>
  </si>
  <si>
    <t>US38405JCG22</t>
  </si>
  <si>
    <t>US38405JCH05</t>
  </si>
  <si>
    <t>Weighted LN balance</t>
  </si>
  <si>
    <t>Mortgage products</t>
  </si>
  <si>
    <t>Coupon rate on mortgage loans</t>
  </si>
  <si>
    <t>Fixed rate on mortgage loans</t>
  </si>
  <si>
    <t>PAYMENT PRIORITIES</t>
  </si>
  <si>
    <t xml:space="preserve">calculation, excess spread is assumed to be 0) </t>
  </si>
  <si>
    <t>Bank of New York</t>
  </si>
  <si>
    <t>140</t>
  </si>
  <si>
    <t>1/Jul/2011 - 31/Jul/2011</t>
  </si>
  <si>
    <t>1/Jun/2011 - 30/Jun/2011</t>
  </si>
  <si>
    <t>1/May/2011 - 31/May/2011</t>
  </si>
  <si>
    <t>June</t>
  </si>
  <si>
    <t>July</t>
  </si>
  <si>
    <t>August</t>
  </si>
  <si>
    <t>20/May/2011-22/Aug/2011</t>
  </si>
  <si>
    <t>19/05/11-20/06/11</t>
  </si>
  <si>
    <t>20/06/11-19/07/11</t>
  </si>
  <si>
    <t>19/07/11-19/08/11</t>
  </si>
  <si>
    <t>Barclays / 5000-00-27 / 20-70-41</t>
  </si>
  <si>
    <t>Current interest rate</t>
  </si>
  <si>
    <t xml:space="preserve">USD </t>
  </si>
  <si>
    <t xml:space="preserve">gbp </t>
  </si>
  <si>
    <t xml:space="preserve">eur </t>
  </si>
  <si>
    <t>Current IPD</t>
  </si>
  <si>
    <t>Last IPD</t>
  </si>
  <si>
    <t xml:space="preserve">Sum of BOND COUPON </t>
  </si>
  <si>
    <t>DAYS IN CALCULATION PERIOD</t>
  </si>
  <si>
    <t>CCY</t>
  </si>
  <si>
    <t xml:space="preserve">CLASS </t>
  </si>
  <si>
    <t>CCY NOTIONAL</t>
  </si>
  <si>
    <t>EXCHANGE</t>
  </si>
  <si>
    <t>GBP  SWAP NOTIONAL</t>
  </si>
  <si>
    <t xml:space="preserve">BOND COUPON </t>
  </si>
  <si>
    <t>XCCY SWAP</t>
  </si>
  <si>
    <t>Grand Total</t>
  </si>
  <si>
    <t xml:space="preserve">STG XXCY SWAP </t>
  </si>
  <si>
    <t>Notes Margin]</t>
  </si>
  <si>
    <t>Cross CRNCY Swap Margin</t>
  </si>
  <si>
    <t>A</t>
  </si>
  <si>
    <t>B</t>
  </si>
  <si>
    <t>C</t>
  </si>
  <si>
    <t>D</t>
  </si>
  <si>
    <t>TOTAL</t>
  </si>
  <si>
    <t>Mortgages Trustee</t>
  </si>
  <si>
    <t>Bedell Trust Company Limited
FAO Institutional Client Team
Jean.Walsh@bedellgroup.com
Rebecca.Bates@bedellgroup.com</t>
  </si>
  <si>
    <t>Funding Cash Management Agreement</t>
  </si>
  <si>
    <t>Party</t>
  </si>
  <si>
    <t>Address</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</si>
  <si>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</si>
  <si>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</si>
  <si>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</si>
  <si>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</si>
  <si>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</si>
  <si>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</si>
  <si>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</si>
  <si>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</si>
  <si>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</si>
  <si>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</si>
  <si>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</si>
  <si>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</si>
  <si>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</si>
  <si>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</si>
  <si>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Repayment</t>
  </si>
  <si>
    <t>Current</t>
  </si>
  <si>
    <t>Repurchases</t>
  </si>
  <si>
    <t>Number</t>
  </si>
  <si>
    <t>Amount (£)</t>
  </si>
  <si>
    <t>Excess Spread for this period (as % of Note Balance as of the start of the interest period and annualised):</t>
  </si>
  <si>
    <t>Controlled Amortisation</t>
  </si>
  <si>
    <t>MATURITY</t>
  </si>
  <si>
    <t>2013-3</t>
  </si>
  <si>
    <t>2018-2</t>
  </si>
  <si>
    <t>MRCLN Value</t>
  </si>
  <si>
    <t>Total Properties In Possession This Month</t>
  </si>
  <si>
    <t>Sales &amp; Shortfalls</t>
  </si>
  <si>
    <t>Balance At Possession</t>
  </si>
  <si>
    <t>Account Balance At Sale</t>
  </si>
  <si>
    <t>Proceeds From Sale</t>
  </si>
  <si>
    <t>Shortfall At Sale</t>
  </si>
  <si>
    <r>
      <t xml:space="preserve">Funding principal repayment tests have been satisfied with regards to the relevant Interest Payment Date: 
</t>
    </r>
    <r>
      <rPr>
        <sz val="10"/>
        <rFont val="Barclays Sans"/>
        <family val="2"/>
      </rPr>
      <t>i) Arrears of interest in respect of all the mortgage accounts in the mortgages trust as of the immediately preceeding trust determination date as a percentage of the aggregate gross interest due on all mortgage accounts during the succeeding 12 months does not exceed 2% 
ii) The common funding reserve fund is equal to the common funding reserve required amount, and 
iii) Any funding repayment test needs to be satisfied</t>
    </r>
  </si>
  <si>
    <t>In Litigation COB This Month</t>
  </si>
  <si>
    <t>N/A</t>
  </si>
  <si>
    <t>Days in Interest Period GMF 06-1/07-1</t>
  </si>
  <si>
    <t>Days in Interest Period GMF 09-1</t>
  </si>
  <si>
    <t>Series 2009-1</t>
  </si>
  <si>
    <t>XS0426108956</t>
  </si>
  <si>
    <t>XS0426113105</t>
  </si>
  <si>
    <t>XS0426115738</t>
  </si>
  <si>
    <t>In addition, a £548 million subordinated limited recourse Z-loan was issued and approximately £11.5 billion of mortgage assets were repurchased from the trust to finance the redemption.</t>
  </si>
  <si>
    <t>http://group.barclays.com/Investor-Relations/Debt-Investors</t>
  </si>
  <si>
    <t>Interest Paid *</t>
  </si>
  <si>
    <t>XS0426116892</t>
  </si>
  <si>
    <t>3 month £ Libor</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</si>
  <si>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</si>
  <si>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</si>
  <si>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</si>
  <si>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</si>
  <si>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</si>
  <si>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</si>
  <si>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</si>
  <si>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</si>
  <si>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</si>
  <si>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</si>
  <si>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</si>
  <si>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</si>
  <si>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</si>
  <si>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</si>
  <si>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</si>
  <si>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</si>
  <si>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</si>
  <si>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</si>
  <si>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</si>
  <si>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</si>
  <si>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</si>
  <si>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Notes</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</si>
  <si>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</si>
  <si>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</si>
  <si>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</si>
  <si>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</si>
  <si>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</si>
  <si>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</si>
  <si>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</si>
  <si>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</si>
  <si>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</si>
  <si>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</si>
  <si>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</si>
  <si>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</si>
  <si>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</si>
  <si>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Account Name: The Bank of New York, Brussels
The Bank of New York, NY
Account Number: 8900285451
Swift: IRVTUS3N
Ref: CT/LBurman - Re:GMF 07-1 USD amounts due</t>
  </si>
  <si>
    <t>-</t>
  </si>
  <si>
    <t>if account is on 'rating watch negative'</t>
  </si>
  <si>
    <t xml:space="preserve">F1+ or above </t>
  </si>
  <si>
    <t xml:space="preserve">F1 </t>
  </si>
  <si>
    <t>XS0302997365</t>
  </si>
  <si>
    <t>XS0302998090</t>
  </si>
  <si>
    <t>XS0303045198</t>
  </si>
  <si>
    <t>XS0302999064</t>
  </si>
  <si>
    <t>XS0302999734</t>
  </si>
  <si>
    <t>XS0303000094</t>
  </si>
  <si>
    <t>XS0303000334</t>
  </si>
  <si>
    <t>XS0303000847</t>
  </si>
  <si>
    <t>XS0303001225</t>
  </si>
  <si>
    <t>XS0303001902</t>
  </si>
  <si>
    <t>XS0303002207</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</si>
  <si>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</si>
  <si>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</si>
  <si>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</si>
  <si>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</si>
  <si>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</si>
  <si>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</si>
  <si>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</si>
  <si>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</si>
  <si>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Investor Report Website:</t>
  </si>
  <si>
    <t>Waterfalls</t>
  </si>
  <si>
    <t>Aggregate Outstanding principal balance of loans as of the beginning of the relevant period</t>
  </si>
  <si>
    <t>MRCLN  as of the beginning of the relevant period</t>
  </si>
  <si>
    <t>Reserve Balance of Repurchased Loans</t>
  </si>
  <si>
    <t xml:space="preserve">Unpaid Interest Balance of Repurchased Loans </t>
  </si>
  <si>
    <t>Mortgage Loan Principal balance of repurchased mortgage loans</t>
  </si>
  <si>
    <t>Arrears Interest of repurchased mortgage loans</t>
  </si>
  <si>
    <t>Accrued Interest of repurchased mortgage loans</t>
  </si>
  <si>
    <t>Credit Balances of repurchased mortgage loans (Calculated Principal) (negative number)</t>
  </si>
  <si>
    <t>Mortgage Loan Principal Balance of Closed Mortgage Loans</t>
  </si>
  <si>
    <t>Arrears Interest of closed mortgage loans</t>
  </si>
  <si>
    <t>Credit Balances of closed mortgage loans (Calculated Principal)</t>
  </si>
  <si>
    <t>WA Yield</t>
  </si>
  <si>
    <t>Minimum Margin on Loans</t>
  </si>
  <si>
    <t>Average Pool Yield</t>
  </si>
  <si>
    <t>Nominal Liquidation Amount</t>
  </si>
  <si>
    <t>Yield of Pool</t>
  </si>
  <si>
    <t>Funding Expense Rate</t>
  </si>
  <si>
    <t>i) WA LN tranche margin</t>
  </si>
  <si>
    <t>ii) LN tranche outstanding</t>
  </si>
  <si>
    <t>Funding Waterfall Expenses</t>
  </si>
  <si>
    <t>the amounts payable by funding under paragraphs (a) through</t>
  </si>
  <si>
    <t>of the funding pre-enforcement revenue priority of payments</t>
  </si>
  <si>
    <t xml:space="preserve"> (e)(ii), (g)(i), (j)(i), (l)(i), (n)(i) and (p)(i) </t>
  </si>
  <si>
    <t>From Yield Calculation Spreadsheet-INCLUDE LIBOR</t>
  </si>
  <si>
    <t>LIBOR</t>
  </si>
  <si>
    <t xml:space="preserve">£ </t>
  </si>
  <si>
    <t>Notes:</t>
  </si>
  <si>
    <t>as of the 22nd of Aug 2011</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</si>
  <si>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</si>
  <si>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</si>
  <si>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</si>
  <si>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</si>
  <si>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</si>
  <si>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</si>
  <si>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</si>
  <si>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</si>
  <si>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</si>
  <si>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</si>
  <si>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</si>
  <si>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</si>
  <si>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</si>
  <si>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</si>
  <si>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</si>
  <si>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</si>
  <si>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</si>
  <si>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</si>
  <si>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US38405JAB52</t>
  </si>
  <si>
    <t>XS0273841378</t>
  </si>
  <si>
    <t>XS0273841535</t>
  </si>
  <si>
    <t>US38405JAC36</t>
  </si>
  <si>
    <t>XS0273842699</t>
  </si>
  <si>
    <t>XS0273843317</t>
  </si>
  <si>
    <t>US38405JAG40</t>
  </si>
  <si>
    <t>XS0273844125</t>
  </si>
  <si>
    <t>XS0273845361</t>
  </si>
  <si>
    <t>38405JAB5</t>
  </si>
  <si>
    <t>38405JAC3</t>
  </si>
  <si>
    <t>38405JAG4</t>
  </si>
  <si>
    <t>Aa3/AA/AA</t>
  </si>
  <si>
    <t>A2/A/A</t>
  </si>
  <si>
    <t>Baa2/BBB/BBB</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</si>
  <si>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</si>
  <si>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</si>
  <si>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</si>
  <si>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</si>
  <si>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</si>
  <si>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</si>
  <si>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</si>
  <si>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</si>
  <si>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</si>
  <si>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</si>
  <si>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</si>
  <si>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</si>
  <si>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</si>
  <si>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</si>
  <si>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</si>
  <si>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</si>
  <si>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</si>
  <si>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</si>
  <si>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</si>
  <si>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</si>
  <si>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35 - 36.99</t>
  </si>
  <si>
    <t>37+</t>
  </si>
  <si>
    <t>2012-3</t>
  </si>
  <si>
    <t>2017-3</t>
  </si>
  <si>
    <t>Days</t>
  </si>
  <si>
    <t>plattc:</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</si>
  <si>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</si>
  <si>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</si>
  <si>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</si>
  <si>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</si>
  <si>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</si>
  <si>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</si>
  <si>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</si>
  <si>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</si>
  <si>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</si>
  <si>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</si>
  <si>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</si>
  <si>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</si>
  <si>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</si>
  <si>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</si>
  <si>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</si>
  <si>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</si>
  <si>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Moody's portfolio variation test value as of last pool analysis</t>
  </si>
  <si>
    <t>Available Subordination Amount (£)</t>
  </si>
  <si>
    <t>Required Subordination Amount (£)</t>
  </si>
  <si>
    <t>Mortgages Trustee Corporate Services Provider</t>
  </si>
  <si>
    <r>
      <t>A "</t>
    </r>
    <r>
      <rPr>
        <b/>
        <sz val="10"/>
        <rFont val="Barclays Sans"/>
        <family val="2"/>
      </rPr>
      <t>non-asset trigger event</t>
    </r>
    <r>
      <rPr>
        <sz val="10"/>
        <rFont val="Barclays Sans"/>
        <family val="2"/>
      </rPr>
      <t>" occurs when:</t>
    </r>
  </si>
  <si>
    <t>Excess Spread for Period</t>
  </si>
  <si>
    <t>Beginning Period LN balance</t>
  </si>
  <si>
    <t>Ratings (Moody's/S&amp;P/Fitch)</t>
  </si>
  <si>
    <t>Mortgage Trust Principal Receipts over the relevant period</t>
  </si>
  <si>
    <t>1A1</t>
  </si>
  <si>
    <t>1A2</t>
  </si>
  <si>
    <t>1A3</t>
  </si>
  <si>
    <t>2A1</t>
  </si>
  <si>
    <t>2A2</t>
  </si>
  <si>
    <t>3A1</t>
  </si>
  <si>
    <t>3A2</t>
  </si>
  <si>
    <t>3A3</t>
  </si>
  <si>
    <t>1B1</t>
  </si>
  <si>
    <t>2B2</t>
  </si>
  <si>
    <t>2B3</t>
  </si>
  <si>
    <t>1C1</t>
  </si>
  <si>
    <t>2C2</t>
  </si>
  <si>
    <t>2C3</t>
  </si>
  <si>
    <t>2D1</t>
  </si>
  <si>
    <t>2D2</t>
  </si>
  <si>
    <t>2D3</t>
  </si>
  <si>
    <t>Funding Pre-enforcement revenue priority of payments</t>
  </si>
  <si>
    <t>Funding Available Principal Receipts</t>
  </si>
  <si>
    <t>Ammort Amt</t>
  </si>
  <si>
    <t xml:space="preserve">EUR </t>
  </si>
  <si>
    <t>Min Note</t>
  </si>
  <si>
    <t>USD/EUR/GBP</t>
  </si>
  <si>
    <t>Test Pass/Fail (New MPV value less /more than original MPV value + 0.3%?)</t>
  </si>
  <si>
    <t>Test Pass/Fail (Post addition WAL less/more than issue date WA LTV+0.25%)</t>
  </si>
  <si>
    <t>Test Pass/Fail (Post addition WA margin =&gt;0.4%)</t>
  </si>
  <si>
    <t>q) New mortgage loans materially the same with most recent ratings test passed mortgage loans</t>
  </si>
  <si>
    <t>Funding2 Dormant?</t>
  </si>
  <si>
    <t>If yes insert "TRUE"</t>
  </si>
  <si>
    <t>NOT RIGHT</t>
  </si>
  <si>
    <t>less</t>
  </si>
  <si>
    <t>2019</t>
  </si>
  <si>
    <t>2020</t>
  </si>
  <si>
    <t>2021</t>
  </si>
  <si>
    <t>2022</t>
  </si>
  <si>
    <t>2015-1</t>
  </si>
  <si>
    <t>Aggregate Mortgage Reserve Debt Principal Balancing Amount over the relevant period</t>
  </si>
  <si>
    <t>CPR</t>
  </si>
  <si>
    <t>Repurchase Amount (excl accrued interest- net of credit balances)</t>
  </si>
  <si>
    <t>Excess Spread Annualisation</t>
  </si>
  <si>
    <t>Excess Spread Calculation as per prospectus-NOT USED</t>
  </si>
  <si>
    <t>Short Term</t>
  </si>
  <si>
    <t>A-1+</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</si>
  <si>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</si>
  <si>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</si>
  <si>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</si>
  <si>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</si>
  <si>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</si>
  <si>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</si>
  <si>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</si>
  <si>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</si>
  <si>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</si>
  <si>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</si>
  <si>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</si>
  <si>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</si>
  <si>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</si>
  <si>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</si>
  <si>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</si>
  <si>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</si>
  <si>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 xml:space="preserve">Mortgages Trustee </t>
  </si>
  <si>
    <t>Seller</t>
  </si>
  <si>
    <t>Funding/Funding No.2</t>
  </si>
  <si>
    <t>Funding Security Trustee/ 
Issuer Security Trustee</t>
  </si>
  <si>
    <t>Monthly Report additional (to the above) addresses - To be sent only on non-IPD dates</t>
  </si>
  <si>
    <t>Bloomberg</t>
  </si>
  <si>
    <t>ldeiacouo@bloomberg.net</t>
  </si>
  <si>
    <t>ghpeters@bloomberg.net</t>
  </si>
  <si>
    <t>ABS Net</t>
  </si>
  <si>
    <t>datacenter@lewtan.com</t>
  </si>
  <si>
    <t>MTCMA quarterly report addresses</t>
  </si>
  <si>
    <t>see above</t>
  </si>
  <si>
    <t>ALL ADRESSES FOR QUARTERLY REPORT- SEE EXPLANATION BELOW:</t>
  </si>
  <si>
    <t>see Funding on the left</t>
  </si>
  <si>
    <t>see Funding Security Trustee on the left</t>
  </si>
  <si>
    <t>f) No rating agency written confirmation that the sale of new mortgage loans will adversely affect the then current ratings of the then existing series of notes</t>
  </si>
  <si>
    <t>i) Fully funded funding2 reserve fund (if any)</t>
  </si>
  <si>
    <t>Aggregate arrears interest</t>
  </si>
  <si>
    <t>PASS</t>
  </si>
  <si>
    <t xml:space="preserve">    (I) Mortgage Account WAFF as of most recent issue date</t>
  </si>
  <si>
    <t>Date</t>
  </si>
  <si>
    <t>Funding Available Revenue Receipts</t>
  </si>
  <si>
    <t>7 - 7.99%</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</si>
  <si>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</si>
  <si>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</si>
  <si>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</si>
  <si>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Transaction Documentation:</t>
  </si>
  <si>
    <t>Investor Reporting:</t>
  </si>
  <si>
    <t>Loan Level Reporting:</t>
  </si>
  <si>
    <t xml:space="preserve">Davina Karsondas                                                                                                                                                                                                                                                   
</t>
  </si>
  <si>
    <t>E-mail: Davina.Karsondas@Barclaystreasury.Com</t>
  </si>
  <si>
    <t>Tel:+44 (0)20 777 31082</t>
  </si>
  <si>
    <t>Sales Since Trust Establishment</t>
  </si>
  <si>
    <t>Weighted average coupon (by value)</t>
  </si>
  <si>
    <t>Weighted average original loan term (by value)</t>
  </si>
  <si>
    <t>Weighted average remaining term (by value) Years</t>
  </si>
  <si>
    <t>Weighted average original LTV (by value)</t>
  </si>
  <si>
    <t>Weighted average current LTV (by value)</t>
  </si>
  <si>
    <t>Weighted average current indexed LTV (by value)</t>
  </si>
  <si>
    <t>Weighted average drawable LTV (by value)</t>
  </si>
  <si>
    <t>Average Mortgage Loan Balance</t>
  </si>
  <si>
    <t>Average Mortgage Account Balance</t>
  </si>
  <si>
    <t>Weighted average seasoning (by value) Months</t>
  </si>
  <si>
    <t>GMF 06-1/07-1</t>
  </si>
  <si>
    <t>Cut Off (31 Mar 07)</t>
  </si>
  <si>
    <t>Issuer Security Trustee, Funding Security Trustee, Principal Paying Agent, Agent Bank, Registrar, Loan Note Registrar, Transfer Agent,  Exchange Agent, Common Depositary</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</si>
  <si>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</si>
  <si>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</si>
  <si>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</si>
  <si>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</si>
  <si>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</si>
  <si>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</si>
  <si>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</si>
  <si>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</si>
  <si>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</si>
  <si>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</si>
  <si>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</si>
  <si>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</si>
  <si>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</si>
  <si>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</si>
  <si>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</si>
  <si>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</si>
  <si>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</si>
  <si>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</si>
  <si>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</si>
  <si>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</si>
  <si>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</si>
  <si>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</si>
  <si>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</si>
  <si>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</si>
  <si>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</si>
  <si>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</si>
  <si>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</si>
  <si>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</si>
  <si>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</si>
  <si>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</si>
  <si>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</si>
  <si>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</si>
  <si>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</si>
  <si>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</si>
  <si>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</si>
  <si>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</si>
  <si>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</si>
  <si>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</si>
  <si>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</si>
  <si>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</si>
  <si>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</si>
  <si>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</si>
  <si>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</si>
  <si>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</si>
  <si>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MT principal receipts</t>
  </si>
  <si>
    <t>Interest Due</t>
  </si>
  <si>
    <t>38405JAA7</t>
  </si>
  <si>
    <t>O27383947</t>
  </si>
  <si>
    <t>38405JAD1</t>
  </si>
  <si>
    <t>38405JAH2</t>
  </si>
  <si>
    <t>Account Name: The Bank of New York, Brussels
The Bank of New York, London
/ 70-02-25/ 1538268260
Swift: IRVTGB2X
Ref: CT/LBurman GMF 2007-1 GBP amounts due</t>
  </si>
  <si>
    <t>Transaction Party</t>
  </si>
  <si>
    <t>Required Ratings</t>
  </si>
  <si>
    <t>Contractual Requirements if the ratings triggers are breached include the following:</t>
  </si>
  <si>
    <t xml:space="preserve">Issuer account bank </t>
  </si>
  <si>
    <t>Breached</t>
  </si>
  <si>
    <t>A-1</t>
  </si>
  <si>
    <t xml:space="preserve">Long Term </t>
  </si>
  <si>
    <t>% of accounts more than 3 months in arrears</t>
  </si>
  <si>
    <t>3+ months in arrears Mortgage Account Current Balance</t>
  </si>
  <si>
    <t>e) Seller originated new mortgage loans in accordance with relevant lending criteria</t>
  </si>
  <si>
    <t>j) No LN tranche/funding2 debt enforcement notice</t>
  </si>
  <si>
    <t xml:space="preserve">    (II)Mortgage Account WALS after new acccount addition</t>
  </si>
  <si>
    <t>Revenue Receipts to Funding No.2</t>
  </si>
  <si>
    <t>Age of mortgage account (months)</t>
  </si>
  <si>
    <t>2042</t>
  </si>
  <si>
    <t>Outstanding balances</t>
  </si>
  <si>
    <t>Series 2007-1</t>
  </si>
  <si>
    <t>AA-</t>
  </si>
  <si>
    <t>2043</t>
  </si>
  <si>
    <t>Aggregate account balance (£)</t>
  </si>
  <si>
    <t>Aggregate  account balance (£)</t>
  </si>
  <si>
    <t>% of total</t>
  </si>
  <si>
    <t>Agg. Balance exc. Res  (£)</t>
  </si>
  <si>
    <t>Aggregate Reserve Balance (£)</t>
  </si>
  <si>
    <t>Agg. Balance exc. Res (£)</t>
  </si>
  <si>
    <t>NOTICE TO NOTEHOLDERS</t>
  </si>
  <si>
    <t>Loan Note pre-enforcement fee and Class A Loan Note due amounts</t>
  </si>
  <si>
    <t>Remove???</t>
  </si>
  <si>
    <t>Bond Amortisation</t>
  </si>
  <si>
    <t>Principal Amount to be called</t>
  </si>
  <si>
    <t>38 - 40</t>
  </si>
  <si>
    <t>40+</t>
  </si>
  <si>
    <t>2012-4</t>
  </si>
  <si>
    <t>2013-1</t>
  </si>
  <si>
    <t>2017-4</t>
  </si>
  <si>
    <t>Accounts In Litigation Since Trust Establishment</t>
  </si>
  <si>
    <t>Account In Lititgation COB Last Month</t>
  </si>
  <si>
    <t>Accounts Moved To Litigation This Month</t>
  </si>
  <si>
    <t>Account Cured Of Litigation This Month</t>
  </si>
  <si>
    <t>Accounts Cured Of Litigation Since Trust Establishment</t>
  </si>
  <si>
    <t>Bank: Barclays Bank Plc, 54 Lombard Street, London
S/C: 20-00-00
Swift: BARCGB22
A/C: Barclays Swaps
A/C No.: 00152021</t>
  </si>
  <si>
    <t>Issuer Payment Dates</t>
  </si>
  <si>
    <t>20th day of February, May, August and November in each year</t>
  </si>
  <si>
    <t>Barclays Ratings</t>
  </si>
  <si>
    <t>Standard and Poor's</t>
  </si>
  <si>
    <t>Long Term</t>
  </si>
  <si>
    <t>Original WAL (years)</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</si>
  <si>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</si>
  <si>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</si>
  <si>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</si>
  <si>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</si>
  <si>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</si>
  <si>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</si>
  <si>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</si>
  <si>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</si>
  <si>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2013-2</t>
  </si>
  <si>
    <t>2018-1</t>
  </si>
  <si>
    <t>Issuer Available Revenue Receipts</t>
  </si>
  <si>
    <t>Issuer Available Principal Receipts</t>
  </si>
  <si>
    <t xml:space="preserve">    (II)Mortgage Account WALS as of most recent issue date</t>
  </si>
  <si>
    <t>Last Issue Date Potential Loss  (I  times II)</t>
  </si>
  <si>
    <t>k) Moody's MPV test</t>
  </si>
  <si>
    <t>Actual Outstanding</t>
  </si>
  <si>
    <t>IPD</t>
  </si>
  <si>
    <t>1) Controlled Amortisation Amount</t>
  </si>
  <si>
    <t>New loans have sufficient hedging arrangements</t>
  </si>
  <si>
    <t xml:space="preserve">n) No Event of Default </t>
  </si>
  <si>
    <t>WA Libor Margin on Trust post-addition of new loans</t>
  </si>
  <si>
    <t>p) WA LTV test</t>
  </si>
  <si>
    <t>Issue Date WA LTV</t>
  </si>
  <si>
    <t>WA LTV post-addition of new loans</t>
  </si>
  <si>
    <t>r) New loans comply with Reps  &amp; Warrs</t>
  </si>
  <si>
    <t>Test Pass/Fail (Potential Loss increase less/more than 0.25%)?</t>
  </si>
  <si>
    <t>F1+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</si>
  <si>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</si>
  <si>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</si>
  <si>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</si>
  <si>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</si>
  <si>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</si>
  <si>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</si>
  <si>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</si>
  <si>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</si>
  <si>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</si>
  <si>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</si>
  <si>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</si>
  <si>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</si>
  <si>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</si>
  <si>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</si>
  <si>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</si>
  <si>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</si>
  <si>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</si>
  <si>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</si>
  <si>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</si>
  <si>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</si>
  <si>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</si>
  <si>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</si>
  <si>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</si>
  <si>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</si>
  <si>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2010</t>
  </si>
  <si>
    <t>2011</t>
  </si>
  <si>
    <t>2012</t>
  </si>
  <si>
    <t>2013</t>
  </si>
  <si>
    <t>2014</t>
  </si>
  <si>
    <t>2015</t>
  </si>
  <si>
    <t>2016</t>
  </si>
  <si>
    <t>2017</t>
  </si>
  <si>
    <t>2018</t>
  </si>
  <si>
    <t>Moody's portfolio variation test value post account addition</t>
  </si>
  <si>
    <t>Model to be run by Chris according to new pool</t>
  </si>
  <si>
    <t>m) New Loan Hedging</t>
  </si>
  <si>
    <t>o) WA Yield Test</t>
  </si>
  <si>
    <t>WA Yield Calculation Balance</t>
  </si>
  <si>
    <t>Initial Downgrade Event</t>
  </si>
  <si>
    <t>LN Amount (£)</t>
  </si>
  <si>
    <t>% of LN Notes Outstanding</t>
  </si>
  <si>
    <t>Point Contacts:</t>
  </si>
  <si>
    <t>i) Identify yield supplement supported loans and apply total balance to 75bps margin [for addition as of 1/12 only]</t>
  </si>
  <si>
    <t>ii) Identify non-supported loans and calculate WA margin as per the YSA account calculation</t>
  </si>
  <si>
    <t>iii) Sum reserve balances for both old and new loans and calculate WA margin as per YSA SVR loans margin calculations</t>
  </si>
  <si>
    <t>LTM Aggregate gross interest due</t>
  </si>
  <si>
    <t>Funding Pre-enforcement principal priority of payments</t>
  </si>
  <si>
    <t>Funding reserve principal repayments from funding liquidity reserve</t>
  </si>
  <si>
    <t>Funding reserve principal repayments from common funding reserve</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</si>
  <si>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</si>
  <si>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</si>
  <si>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</si>
  <si>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</si>
  <si>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</si>
  <si>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</si>
  <si>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Counterparty: Gracechurch Mortgage Financing PLC (Party B)</t>
  </si>
  <si>
    <t>Liability Model:</t>
  </si>
  <si>
    <t>CCY Receives</t>
  </si>
  <si>
    <t>(Base Prospectus Pg 215)</t>
  </si>
  <si>
    <t>Principal Redeemed on 1st November 2010</t>
  </si>
  <si>
    <t>Z loan principal deficiency sub ledger</t>
  </si>
  <si>
    <t>Z Loan</t>
  </si>
  <si>
    <t>Barcap Swaps</t>
  </si>
  <si>
    <t>Issuer Corporate Services Provider, Holdings Corporate Services Provider</t>
  </si>
  <si>
    <t>*The excess spread is calculated as the difference between i) Funding Available Revenue Receipts and ii)the sum of items a) through and including  b) (Common Funding Reserve Ledger replenishment) of the Funding Pre-enforcement Revenue Priority of Payments</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</si>
  <si>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</si>
  <si>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</si>
  <si>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</si>
  <si>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</si>
  <si>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</si>
  <si>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</si>
  <si>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Issuer Interest Period End</t>
  </si>
  <si>
    <t>2045</t>
  </si>
  <si>
    <t>2046</t>
  </si>
  <si>
    <t>Amounts due to Class Z Notes (including amounts due under the swap agreement)</t>
  </si>
  <si>
    <t>Class Z Loan Note controlled amortisation principal amount</t>
  </si>
  <si>
    <t>Class Z Notes</t>
  </si>
  <si>
    <t xml:space="preserve">Principal outstanding post paydown &amp; call option </t>
  </si>
  <si>
    <t>Principal Amount Outstanding pre May 12 call</t>
  </si>
  <si>
    <t>Principal Amount Outstanding pre May 12 call (£ eq.)</t>
  </si>
  <si>
    <t>https://live.irooms.net/BarclaysBoEdatahosting/</t>
  </si>
  <si>
    <t>Current Shortfall is net of any recoveries made post sale</t>
  </si>
  <si>
    <t>Call option wires value 21st May 2012</t>
  </si>
  <si>
    <t>TOTAL PRINCIPAL DUE (Bond Amortisation and call amounts)</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</si>
  <si>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</si>
  <si>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</si>
  <si>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</si>
  <si>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</si>
  <si>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</si>
  <si>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</si>
  <si>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</si>
  <si>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</si>
  <si>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</si>
  <si>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</si>
  <si>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</si>
  <si>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</si>
  <si>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</si>
  <si>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</si>
  <si>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</si>
  <si>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</si>
  <si>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</si>
  <si>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</si>
  <si>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</si>
  <si>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</si>
  <si>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</si>
  <si>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GMF 2006-1,2011-1, 2012-1</t>
  </si>
  <si>
    <t>143</t>
  </si>
  <si>
    <t>01-Nov-12 to 30-Nov-12</t>
  </si>
  <si>
    <t>December</t>
  </si>
  <si>
    <t>January</t>
  </si>
  <si>
    <t>February</t>
  </si>
  <si>
    <t>Trust Period 1-Nov-12 to 1-Dec-12</t>
  </si>
  <si>
    <t>Trust Period 1-Dec-12 to 1-Jan-13</t>
  </si>
  <si>
    <t>Trust Period 1-Jan-13 to 1-Feb-13</t>
  </si>
  <si>
    <t>19/11/12-19/12/12</t>
  </si>
  <si>
    <t>19/12/12-21/01/13</t>
  </si>
  <si>
    <t>21/01/13-19/02/13</t>
  </si>
  <si>
    <t xml:space="preserve">Repayment </t>
  </si>
  <si>
    <t>01-Dec-12 to 31-Dec-12</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</si>
  <si>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</si>
  <si>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</si>
  <si>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</si>
  <si>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</si>
  <si>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</si>
  <si>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</si>
  <si>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</si>
  <si>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As of the 01 January 2013</t>
  </si>
  <si>
    <t>01-Jan-13 to 31-Jan-13</t>
  </si>
  <si>
    <t>20/Nov/2012-20/Feb/2013</t>
  </si>
  <si>
    <t>As of the 01 February 2013</t>
  </si>
  <si>
    <t>1. After any repurchases and additions as of the 29 January 2013</t>
  </si>
  <si>
    <t>Mortgage Accounts repurchased as of 01 February 2013</t>
  </si>
  <si>
    <t>Mortgage Accounts added as of  01 February 2013</t>
  </si>
  <si>
    <t>Mortgage Assets (as of 01 February 2013 )</t>
  </si>
</sst>
</file>

<file path=xl/styles.xml><?xml version="1.0" encoding="utf-8"?>
<styleSheet xmlns="http://schemas.openxmlformats.org/spreadsheetml/2006/main">
  <numFmts count="47">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5" formatCode="_-* #,##0_-;\-* #,##0_-;_-* &quot;-&quot;??_-;_-@_-"/>
    <numFmt numFmtId="166" formatCode="0.000%"/>
    <numFmt numFmtId="167" formatCode="0.0000%"/>
    <numFmt numFmtId="168" formatCode="0.00000%"/>
    <numFmt numFmtId="170" formatCode="0.0000"/>
    <numFmt numFmtId="171" formatCode="0.000000%"/>
    <numFmt numFmtId="172" formatCode="[$GBP]\ #,##0.00"/>
    <numFmt numFmtId="173" formatCode="_-* #,##0.0000_-;\-* #,##0.0000_-;_-* &quot;-&quot;??_-;_-@_-"/>
    <numFmt numFmtId="181" formatCode="&quot;£&quot;#,##0.00"/>
    <numFmt numFmtId="185" formatCode="[$$-409]#,##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3" formatCode="_-* #,##0.000_-;\-* #,##0.000_-;_-* &quot;-&quot;??_-;_-@_-"/>
    <numFmt numFmtId="194" formatCode="[$€-2]\ #,##0;[Red][$€-2]\ #,##0"/>
    <numFmt numFmtId="195" formatCode="&quot;£&quot;#,##0"/>
    <numFmt numFmtId="196" formatCode="\$\ #,##0"/>
    <numFmt numFmtId="197" formatCode="&quot;£&quot;\ #,##0.00_-;\-&quot;£&quot;\ #,##0.00_-;"/>
    <numFmt numFmtId="198" formatCode="#,##0.000_ ;\-#,##0.000\ "/>
    <numFmt numFmtId="199" formatCode="#,##0.00_ ;\-#,##0.00\ "/>
    <numFmt numFmtId="200" formatCode="_-[$€-2]* #,##0.00_-;\-[$€-2]* #,##0.00_-;_-[$€-2]* &quot;-&quot;??_-"/>
    <numFmt numFmtId="201" formatCode="[$€-2]\ #,##0.00"/>
    <numFmt numFmtId="202" formatCode="[$£-809]#,##0.00"/>
    <numFmt numFmtId="203" formatCode="\$\ #,##0.00000"/>
    <numFmt numFmtId="204" formatCode="[$£-809]#,##0;[Red][$£-809]#,##0"/>
    <numFmt numFmtId="207" formatCode="\€\ #,##0"/>
    <numFmt numFmtId="208" formatCode="&quot;£&quot;\ #,##0"/>
    <numFmt numFmtId="209" formatCode="[$$-409]#,##0;[Red][$$-409]#,##0"/>
    <numFmt numFmtId="210" formatCode="&quot;£&quot;#,##0;[Red]&quot;£&quot;#,##0"/>
    <numFmt numFmtId="211" formatCode="\$\ #,##0.00"/>
    <numFmt numFmtId="212" formatCode="[$€-2]\ #,##0.00;[Red][$€-2]\ #,##0.00"/>
    <numFmt numFmtId="213" formatCode="[$$-409]#,##0"/>
    <numFmt numFmtId="217" formatCode="_(* #,##0_);_(* \(#,##0\);_(* &quot;-&quot;??_);_(@_)"/>
    <numFmt numFmtId="218" formatCode="\€\ #,##0.00"/>
    <numFmt numFmtId="219" formatCode="[$€-2]\ #,##0"/>
    <numFmt numFmtId="220" formatCode="&quot;£&quot;#,##0.00;[Red]&quot;£&quot;#,##0.00"/>
    <numFmt numFmtId="221" formatCode="_-* #,##0.00_-;\-* #,##0.00_-;_-* &quot;-&quot;_-;_-@_-"/>
  </numFmts>
  <fonts count="65">
    <font>
      <sz val="10"/>
      <name val="Arial"/>
    </font>
    <font>
      <sz val="10"/>
      <name val="Arial"/>
      <family val="2"/>
    </font>
    <font>
      <b/>
      <u/>
      <sz val="10"/>
      <name val="Arial"/>
      <family val="2"/>
    </font>
    <font>
      <sz val="8"/>
      <name val="Arial"/>
      <family val="2"/>
    </font>
    <font>
      <sz val="10"/>
      <name val="Arial"/>
      <family val="2"/>
    </font>
    <font>
      <b/>
      <sz val="10"/>
      <name val="Arial"/>
      <family val="2"/>
    </font>
    <font>
      <sz val="8"/>
      <color indexed="81"/>
      <name val="Tahoma"/>
      <family val="2"/>
    </font>
    <font>
      <b/>
      <sz val="8"/>
      <color indexed="81"/>
      <name val="Tahoma"/>
      <family val="2"/>
    </font>
    <font>
      <u/>
      <sz val="10"/>
      <color indexed="12"/>
      <name val="Arial"/>
      <family val="2"/>
    </font>
    <font>
      <b/>
      <i/>
      <u/>
      <sz val="10"/>
      <name val="Barclays"/>
    </font>
    <font>
      <sz val="10"/>
      <name val="Barclays"/>
    </font>
    <font>
      <b/>
      <sz val="10"/>
      <name val="Barclays"/>
    </font>
    <font>
      <i/>
      <sz val="10"/>
      <name val="Barclays"/>
    </font>
    <font>
      <b/>
      <sz val="10"/>
      <color indexed="17"/>
      <name val="Barclays"/>
    </font>
    <font>
      <b/>
      <i/>
      <sz val="10"/>
      <name val="Barclays"/>
    </font>
    <font>
      <b/>
      <u/>
      <sz val="10"/>
      <name val="Barclays"/>
    </font>
    <font>
      <b/>
      <sz val="10"/>
      <color indexed="57"/>
      <name val="Barclays"/>
    </font>
    <font>
      <sz val="10"/>
      <color indexed="53"/>
      <name val="Barclays"/>
    </font>
    <font>
      <b/>
      <i/>
      <sz val="10"/>
      <color indexed="10"/>
      <name val="Barclays"/>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sz val="9"/>
      <name val="Arial"/>
      <family val="2"/>
    </font>
    <font>
      <i/>
      <u/>
      <sz val="10"/>
      <name val="Barclays Sans"/>
      <family val="2"/>
    </font>
    <font>
      <b/>
      <i/>
      <sz val="10"/>
      <name val="Arial"/>
      <family val="2"/>
    </font>
    <font>
      <sz val="10"/>
      <color indexed="10"/>
      <name val="Barclays Sans"/>
      <family val="2"/>
    </font>
    <font>
      <b/>
      <sz val="12"/>
      <name val="Arial"/>
      <family val="2"/>
    </font>
    <font>
      <sz val="10"/>
      <color indexed="12"/>
      <name val="Arial"/>
      <family val="2"/>
    </font>
    <font>
      <sz val="10"/>
      <color indexed="60"/>
      <name val="Barclays Sans"/>
      <family val="2"/>
    </font>
    <font>
      <b/>
      <sz val="10"/>
      <color indexed="63"/>
      <name val="Barclays Sans"/>
      <family val="2"/>
    </font>
    <font>
      <u/>
      <sz val="10"/>
      <color indexed="12"/>
      <name val="Barclays Sans"/>
      <family val="2"/>
    </font>
    <font>
      <sz val="10"/>
      <color indexed="9"/>
      <name val="Barclays Sans"/>
      <family val="2"/>
    </font>
    <font>
      <sz val="10"/>
      <color indexed="63"/>
      <name val="Barclays Sans"/>
      <family val="2"/>
    </font>
    <font>
      <b/>
      <sz val="10"/>
      <color indexed="9"/>
      <name val="Barclays"/>
    </font>
    <font>
      <b/>
      <sz val="10"/>
      <name val="Arial"/>
      <family val="2"/>
    </font>
    <font>
      <sz val="10"/>
      <name val="Arial"/>
      <family val="2"/>
    </font>
    <font>
      <b/>
      <sz val="10"/>
      <color indexed="63"/>
      <name val="Arial"/>
      <family val="2"/>
    </font>
    <font>
      <sz val="10"/>
      <color indexed="63"/>
      <name val="Arial"/>
      <family val="2"/>
    </font>
    <font>
      <vertAlign val="superscript"/>
      <sz val="10"/>
      <name val="Barclays Sans"/>
      <family val="2"/>
    </font>
    <font>
      <b/>
      <sz val="10"/>
      <color indexed="18"/>
      <name val="Arial"/>
      <family val="2"/>
    </font>
    <font>
      <i/>
      <vertAlign val="superscript"/>
      <sz val="10"/>
      <name val="Barclays Sans"/>
      <family val="2"/>
    </font>
    <font>
      <b/>
      <sz val="10"/>
      <color indexed="81"/>
      <name val="Tahoma"/>
      <family val="2"/>
    </font>
    <font>
      <b/>
      <i/>
      <u/>
      <sz val="10"/>
      <name val="Arial"/>
      <family val="2"/>
    </font>
    <font>
      <b/>
      <sz val="14"/>
      <name val="Barclays Sans"/>
      <family val="2"/>
    </font>
    <font>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2"/>
      <color indexed="81"/>
      <name val="Tahoma"/>
      <family val="2"/>
    </font>
    <font>
      <sz val="12"/>
      <color indexed="81"/>
      <name val="Tahoma"/>
      <family val="2"/>
    </font>
    <font>
      <sz val="12"/>
      <color indexed="9"/>
      <name val="Barclays Sans"/>
      <family val="2"/>
    </font>
    <font>
      <b/>
      <sz val="11"/>
      <color indexed="81"/>
      <name val="Tahoma"/>
      <family val="2"/>
    </font>
    <font>
      <sz val="11"/>
      <color indexed="81"/>
      <name val="Tahoma"/>
      <family val="2"/>
    </font>
    <font>
      <sz val="10"/>
      <color indexed="81"/>
      <name val="Tahoma"/>
      <family val="2"/>
    </font>
    <font>
      <b/>
      <sz val="10"/>
      <color indexed="9"/>
      <name val="Barclays Sans"/>
      <family val="2"/>
    </font>
    <font>
      <sz val="10"/>
      <color rgb="FFFF0000"/>
      <name val="Barclays Sans"/>
      <family val="2"/>
    </font>
    <font>
      <sz val="7.5"/>
      <name val="Barclays Sans"/>
      <family val="2"/>
    </font>
  </fonts>
  <fills count="2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34"/>
        <bgColor indexed="64"/>
      </patternFill>
    </fill>
    <fill>
      <patternFill patternType="solid">
        <fgColor indexed="50"/>
        <bgColor indexed="64"/>
      </patternFill>
    </fill>
    <fill>
      <patternFill patternType="solid">
        <fgColor indexed="24"/>
        <bgColor indexed="64"/>
      </patternFill>
    </fill>
    <fill>
      <patternFill patternType="solid">
        <fgColor indexed="43"/>
        <bgColor indexed="64"/>
      </patternFill>
    </fill>
    <fill>
      <patternFill patternType="solid">
        <fgColor indexed="52"/>
        <bgColor indexed="64"/>
      </patternFill>
    </fill>
    <fill>
      <patternFill patternType="solid">
        <fgColor indexed="65"/>
        <bgColor indexed="64"/>
      </patternFill>
    </fill>
    <fill>
      <patternFill patternType="gray0625">
        <fgColor indexed="44"/>
        <bgColor indexed="9"/>
      </patternFill>
    </fill>
    <fill>
      <patternFill patternType="solid">
        <fgColor indexed="47"/>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8" tint="0.59999389629810485"/>
        <bgColor indexed="64"/>
      </patternFill>
    </fill>
    <fill>
      <patternFill patternType="solid">
        <fgColor auto="1"/>
        <bgColor indexed="64"/>
      </patternFill>
    </fill>
  </fills>
  <borders count="4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200" fontId="1"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xf numFmtId="0" fontId="1" fillId="0" borderId="0"/>
    <xf numFmtId="0" fontId="1" fillId="0" borderId="0"/>
    <xf numFmtId="9" fontId="1" fillId="0" borderId="0" applyFont="0" applyFill="0" applyBorder="0" applyAlignment="0" applyProtection="0"/>
  </cellStyleXfs>
  <cellXfs count="1524">
    <xf numFmtId="0" fontId="0" fillId="0" borderId="0" xfId="0"/>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right"/>
    </xf>
    <xf numFmtId="0" fontId="14" fillId="2" borderId="0" xfId="0" applyFont="1" applyFill="1"/>
    <xf numFmtId="0" fontId="15" fillId="2" borderId="0" xfId="0" applyFont="1" applyFill="1" applyBorder="1"/>
    <xf numFmtId="0" fontId="10" fillId="2" borderId="1" xfId="0" applyFont="1" applyFill="1" applyBorder="1"/>
    <xf numFmtId="0" fontId="10" fillId="2" borderId="0" xfId="0" applyFont="1" applyFill="1" applyBorder="1"/>
    <xf numFmtId="0" fontId="10" fillId="2" borderId="2" xfId="0" applyFont="1" applyFill="1" applyBorder="1"/>
    <xf numFmtId="0" fontId="16" fillId="2" borderId="0" xfId="0" applyFont="1" applyFill="1" applyBorder="1"/>
    <xf numFmtId="0" fontId="16" fillId="2" borderId="2" xfId="0" applyFont="1" applyFill="1" applyBorder="1"/>
    <xf numFmtId="0" fontId="10" fillId="2" borderId="3" xfId="0" applyFont="1" applyFill="1" applyBorder="1"/>
    <xf numFmtId="0" fontId="10" fillId="2" borderId="4" xfId="0" applyFont="1" applyFill="1" applyBorder="1"/>
    <xf numFmtId="0" fontId="10" fillId="2" borderId="5" xfId="0" applyFont="1" applyFill="1" applyBorder="1"/>
    <xf numFmtId="0" fontId="16" fillId="2" borderId="0" xfId="0" applyFont="1" applyFill="1"/>
    <xf numFmtId="0" fontId="15" fillId="2" borderId="0" xfId="0" applyFont="1" applyFill="1" applyAlignment="1">
      <alignment horizontal="center"/>
    </xf>
    <xf numFmtId="0" fontId="15" fillId="2" borderId="0" xfId="0" applyFont="1" applyFill="1"/>
    <xf numFmtId="0" fontId="10" fillId="2" borderId="0" xfId="0" applyFont="1" applyFill="1" applyAlignment="1">
      <alignment wrapText="1"/>
    </xf>
    <xf numFmtId="0" fontId="10" fillId="2" borderId="0" xfId="0" applyFont="1" applyFill="1" applyAlignment="1">
      <alignment horizontal="center" wrapText="1"/>
    </xf>
    <xf numFmtId="0" fontId="13" fillId="2" borderId="0" xfId="0" applyFont="1" applyFill="1" applyAlignment="1">
      <alignment horizontal="center"/>
    </xf>
    <xf numFmtId="10" fontId="10" fillId="2" borderId="6" xfId="7" applyNumberFormat="1" applyFont="1" applyFill="1" applyBorder="1" applyAlignment="1">
      <alignment horizontal="center"/>
    </xf>
    <xf numFmtId="0" fontId="10" fillId="2" borderId="0" xfId="0" applyFont="1" applyFill="1" applyAlignment="1">
      <alignment horizontal="center"/>
    </xf>
    <xf numFmtId="0" fontId="16" fillId="2" borderId="0" xfId="0" applyFont="1" applyFill="1" applyAlignment="1">
      <alignment horizontal="center"/>
    </xf>
    <xf numFmtId="0" fontId="10" fillId="2" borderId="7" xfId="0" applyFont="1" applyFill="1" applyBorder="1" applyAlignment="1">
      <alignment horizontal="center"/>
    </xf>
    <xf numFmtId="0" fontId="9" fillId="2" borderId="0" xfId="0" applyFont="1" applyFill="1" applyAlignment="1">
      <alignment wrapText="1"/>
    </xf>
    <xf numFmtId="0" fontId="10" fillId="2" borderId="0" xfId="0" applyFont="1" applyFill="1" applyAlignment="1">
      <alignment horizontal="right"/>
    </xf>
    <xf numFmtId="0" fontId="10" fillId="2" borderId="8" xfId="0" applyFont="1" applyFill="1" applyBorder="1"/>
    <xf numFmtId="165" fontId="10" fillId="2" borderId="0" xfId="0" applyNumberFormat="1" applyFont="1" applyFill="1" applyAlignment="1">
      <alignment horizontal="center"/>
    </xf>
    <xf numFmtId="10" fontId="17" fillId="2" borderId="0" xfId="0" applyNumberFormat="1" applyFont="1" applyFill="1" applyAlignment="1">
      <alignment horizontal="center"/>
    </xf>
    <xf numFmtId="0" fontId="18" fillId="2" borderId="0" xfId="0" applyFont="1" applyFill="1"/>
    <xf numFmtId="0" fontId="19" fillId="2" borderId="0" xfId="0" applyFont="1" applyFill="1"/>
    <xf numFmtId="0" fontId="20" fillId="2" borderId="0" xfId="0" applyFont="1" applyFill="1"/>
    <xf numFmtId="43" fontId="20" fillId="2" borderId="0" xfId="1" applyFont="1" applyFill="1"/>
    <xf numFmtId="0" fontId="20" fillId="2" borderId="0" xfId="0" applyFont="1" applyFill="1" applyBorder="1"/>
    <xf numFmtId="43" fontId="20" fillId="2" borderId="0" xfId="0" applyNumberFormat="1" applyFont="1" applyFill="1"/>
    <xf numFmtId="0" fontId="20" fillId="2" borderId="0" xfId="0" applyFont="1" applyFill="1" applyAlignment="1">
      <alignment wrapText="1"/>
    </xf>
    <xf numFmtId="0" fontId="20" fillId="2" borderId="0" xfId="0" applyFont="1" applyFill="1" applyBorder="1" applyAlignment="1">
      <alignment wrapText="1"/>
    </xf>
    <xf numFmtId="0" fontId="20" fillId="2" borderId="0" xfId="0" applyFont="1" applyFill="1" applyAlignment="1">
      <alignment vertical="top" wrapText="1"/>
    </xf>
    <xf numFmtId="0" fontId="20" fillId="2" borderId="0" xfId="0" applyFont="1" applyFill="1" applyBorder="1" applyAlignment="1">
      <alignment vertical="top" wrapText="1"/>
    </xf>
    <xf numFmtId="43" fontId="20" fillId="2" borderId="7" xfId="1" applyNumberFormat="1" applyFont="1" applyFill="1" applyBorder="1" applyAlignment="1">
      <alignment vertical="top" wrapText="1"/>
    </xf>
    <xf numFmtId="0" fontId="20" fillId="2" borderId="0" xfId="0" applyFont="1" applyFill="1" applyAlignment="1">
      <alignment vertical="top"/>
    </xf>
    <xf numFmtId="0" fontId="20" fillId="2" borderId="0" xfId="0" applyFont="1" applyFill="1" applyBorder="1" applyAlignment="1">
      <alignment vertical="top"/>
    </xf>
    <xf numFmtId="0" fontId="20" fillId="2" borderId="9" xfId="0" applyFont="1" applyFill="1" applyBorder="1" applyAlignment="1">
      <alignment vertical="top" wrapText="1"/>
    </xf>
    <xf numFmtId="0" fontId="20" fillId="2" borderId="1" xfId="0" applyFont="1" applyFill="1" applyBorder="1" applyAlignment="1">
      <alignment vertical="top" wrapText="1"/>
    </xf>
    <xf numFmtId="0" fontId="20" fillId="2" borderId="5" xfId="0" applyFont="1" applyFill="1" applyBorder="1" applyAlignment="1">
      <alignment vertical="top"/>
    </xf>
    <xf numFmtId="165" fontId="20" fillId="2" borderId="0" xfId="1" applyNumberFormat="1" applyFont="1" applyFill="1"/>
    <xf numFmtId="0" fontId="20" fillId="2" borderId="0" xfId="0" applyFont="1" applyFill="1" applyAlignment="1">
      <alignment horizontal="center" wrapText="1"/>
    </xf>
    <xf numFmtId="43" fontId="20" fillId="2" borderId="0" xfId="0" applyNumberFormat="1" applyFont="1" applyFill="1" applyBorder="1"/>
    <xf numFmtId="10" fontId="20" fillId="2" borderId="0" xfId="0" applyNumberFormat="1" applyFont="1" applyFill="1"/>
    <xf numFmtId="0" fontId="20" fillId="2" borderId="2" xfId="0" applyFont="1" applyFill="1" applyBorder="1"/>
    <xf numFmtId="0" fontId="20" fillId="2" borderId="11" xfId="0" applyFont="1" applyFill="1" applyBorder="1"/>
    <xf numFmtId="0" fontId="20" fillId="2" borderId="5" xfId="0" applyFont="1" applyFill="1" applyBorder="1"/>
    <xf numFmtId="0" fontId="25" fillId="2" borderId="0" xfId="0" applyFont="1" applyFill="1" applyAlignment="1">
      <alignment horizontal="right"/>
    </xf>
    <xf numFmtId="0" fontId="20" fillId="2" borderId="0" xfId="0" applyFont="1" applyFill="1" applyAlignment="1"/>
    <xf numFmtId="0" fontId="22" fillId="2" borderId="0" xfId="0" applyFont="1" applyFill="1" applyAlignment="1"/>
    <xf numFmtId="0" fontId="1" fillId="0" borderId="0" xfId="5"/>
    <xf numFmtId="0" fontId="1" fillId="0" borderId="0" xfId="5" applyFont="1"/>
    <xf numFmtId="15" fontId="1" fillId="0" borderId="0" xfId="5" applyNumberFormat="1"/>
    <xf numFmtId="0" fontId="20" fillId="2" borderId="0" xfId="0" applyFont="1" applyFill="1" applyAlignment="1">
      <alignment horizontal="left" wrapText="1"/>
    </xf>
    <xf numFmtId="181" fontId="20" fillId="2" borderId="0" xfId="0" applyNumberFormat="1" applyFont="1" applyFill="1"/>
    <xf numFmtId="0" fontId="20" fillId="5" borderId="0" xfId="0" applyFont="1" applyFill="1"/>
    <xf numFmtId="0" fontId="24" fillId="2" borderId="0" xfId="0" applyFont="1" applyFill="1" applyAlignment="1">
      <alignment wrapText="1"/>
    </xf>
    <xf numFmtId="0" fontId="23" fillId="2" borderId="0" xfId="0" applyFont="1" applyFill="1"/>
    <xf numFmtId="43" fontId="0" fillId="0" borderId="0" xfId="0" applyNumberFormat="1"/>
    <xf numFmtId="0" fontId="20" fillId="2" borderId="10" xfId="0" applyFont="1" applyFill="1" applyBorder="1"/>
    <xf numFmtId="0" fontId="20" fillId="2" borderId="4" xfId="0" applyFont="1" applyFill="1" applyBorder="1"/>
    <xf numFmtId="0" fontId="0" fillId="0" borderId="0" xfId="0" applyAlignment="1">
      <alignment vertical="top" wrapText="1"/>
    </xf>
    <xf numFmtId="0" fontId="5" fillId="0" borderId="0" xfId="0" applyFont="1"/>
    <xf numFmtId="0" fontId="2" fillId="0" borderId="0" xfId="0" applyFont="1"/>
    <xf numFmtId="0" fontId="33" fillId="0" borderId="0" xfId="3" applyFont="1" applyFill="1" applyBorder="1" applyAlignment="1" applyProtection="1">
      <alignment horizontal="left" vertical="top" wrapText="1"/>
    </xf>
    <xf numFmtId="0" fontId="0" fillId="0" borderId="0" xfId="0" applyAlignment="1">
      <alignment vertical="top"/>
    </xf>
    <xf numFmtId="168" fontId="0" fillId="0" borderId="0" xfId="7" applyNumberFormat="1" applyFont="1"/>
    <xf numFmtId="181" fontId="0" fillId="0" borderId="0" xfId="0" applyNumberFormat="1"/>
    <xf numFmtId="0" fontId="0" fillId="0" borderId="0" xfId="0" applyAlignment="1">
      <alignment wrapText="1"/>
    </xf>
    <xf numFmtId="0" fontId="2" fillId="0" borderId="0" xfId="0" applyFont="1" applyAlignment="1">
      <alignment vertical="top"/>
    </xf>
    <xf numFmtId="0" fontId="0" fillId="5" borderId="0" xfId="0" applyFill="1"/>
    <xf numFmtId="0" fontId="0" fillId="5" borderId="0" xfId="0" applyFill="1" applyAlignment="1">
      <alignment vertical="top"/>
    </xf>
    <xf numFmtId="0" fontId="2" fillId="5" borderId="0" xfId="0" applyFont="1" applyFill="1"/>
    <xf numFmtId="0" fontId="5" fillId="5" borderId="0" xfId="0" applyFont="1" applyFill="1"/>
    <xf numFmtId="0" fontId="30" fillId="0" borderId="0" xfId="0" applyFont="1"/>
    <xf numFmtId="0" fontId="20" fillId="2" borderId="0" xfId="5" applyFont="1" applyFill="1"/>
    <xf numFmtId="187" fontId="20" fillId="2" borderId="0" xfId="0" applyNumberFormat="1" applyFont="1" applyFill="1" applyAlignment="1">
      <alignment horizontal="right"/>
    </xf>
    <xf numFmtId="10" fontId="20" fillId="2" borderId="0" xfId="0" applyNumberFormat="1" applyFont="1" applyFill="1" applyAlignment="1">
      <alignment vertical="top"/>
    </xf>
    <xf numFmtId="187" fontId="20" fillId="2" borderId="0" xfId="0" applyNumberFormat="1" applyFont="1" applyFill="1" applyAlignment="1">
      <alignment horizontal="right" vertical="top"/>
    </xf>
    <xf numFmtId="187" fontId="20" fillId="2" borderId="0" xfId="0" applyNumberFormat="1" applyFont="1" applyFill="1" applyAlignment="1">
      <alignment horizontal="center"/>
    </xf>
    <xf numFmtId="0" fontId="20" fillId="2" borderId="0" xfId="0" applyFont="1" applyFill="1" applyAlignment="1">
      <alignment horizontal="center"/>
    </xf>
    <xf numFmtId="187" fontId="20" fillId="2" borderId="0" xfId="0" applyNumberFormat="1" applyFont="1" applyFill="1" applyAlignment="1">
      <alignment horizontal="right" wrapText="1"/>
    </xf>
    <xf numFmtId="187" fontId="20" fillId="2" borderId="7" xfId="0" applyNumberFormat="1" applyFont="1" applyFill="1" applyBorder="1" applyAlignment="1">
      <alignment horizontal="right"/>
    </xf>
    <xf numFmtId="0" fontId="20" fillId="2" borderId="0" xfId="0" applyFont="1" applyFill="1" applyBorder="1" applyAlignment="1"/>
    <xf numFmtId="0" fontId="19" fillId="2" borderId="0" xfId="0" applyFont="1" applyFill="1" applyAlignment="1"/>
    <xf numFmtId="0" fontId="34" fillId="2" borderId="0" xfId="0" applyFont="1" applyFill="1" applyAlignment="1"/>
    <xf numFmtId="0" fontId="34" fillId="2" borderId="0" xfId="0" applyFont="1" applyFill="1" applyAlignment="1">
      <alignment horizontal="right"/>
    </xf>
    <xf numFmtId="43" fontId="34" fillId="2" borderId="0" xfId="1" applyFont="1" applyFill="1" applyAlignment="1">
      <alignment horizontal="right"/>
    </xf>
    <xf numFmtId="188" fontId="20" fillId="2" borderId="0" xfId="0" applyNumberFormat="1" applyFont="1" applyFill="1"/>
    <xf numFmtId="0" fontId="37" fillId="2" borderId="0" xfId="0" applyFont="1" applyFill="1"/>
    <xf numFmtId="0" fontId="39" fillId="2" borderId="0" xfId="0" applyFont="1" applyFill="1" applyBorder="1" applyAlignment="1">
      <alignment horizontal="center"/>
    </xf>
    <xf numFmtId="190" fontId="39" fillId="2" borderId="0" xfId="0" applyNumberFormat="1" applyFont="1" applyFill="1" applyBorder="1" applyAlignment="1">
      <alignment horizontal="center"/>
    </xf>
    <xf numFmtId="0" fontId="23" fillId="2" borderId="0" xfId="0" applyFont="1" applyFill="1" applyBorder="1"/>
    <xf numFmtId="0" fontId="20" fillId="2" borderId="0" xfId="5" applyFont="1" applyFill="1" applyBorder="1"/>
    <xf numFmtId="0" fontId="31" fillId="2" borderId="0" xfId="0" applyFont="1" applyFill="1" applyBorder="1"/>
    <xf numFmtId="0" fontId="8" fillId="0" borderId="0" xfId="3" applyAlignment="1" applyProtection="1"/>
    <xf numFmtId="0" fontId="5" fillId="0" borderId="0" xfId="0" applyFont="1" applyFill="1"/>
    <xf numFmtId="0" fontId="0" fillId="0" borderId="0" xfId="0" applyFill="1"/>
    <xf numFmtId="14" fontId="5" fillId="8" borderId="0" xfId="0" applyNumberFormat="1" applyFont="1" applyFill="1"/>
    <xf numFmtId="0" fontId="0" fillId="0" borderId="18" xfId="0" applyBorder="1"/>
    <xf numFmtId="0" fontId="0" fillId="0" borderId="19" xfId="0" applyBorder="1"/>
    <xf numFmtId="2" fontId="5" fillId="0" borderId="0" xfId="0" applyNumberFormat="1" applyFont="1" applyFill="1"/>
    <xf numFmtId="43" fontId="0" fillId="0" borderId="19" xfId="0" applyNumberFormat="1" applyBorder="1"/>
    <xf numFmtId="0" fontId="0" fillId="0" borderId="20" xfId="0" applyBorder="1"/>
    <xf numFmtId="43" fontId="0" fillId="0" borderId="21" xfId="0" applyNumberFormat="1" applyBorder="1"/>
    <xf numFmtId="0" fontId="42" fillId="9" borderId="0" xfId="0" applyFont="1" applyFill="1"/>
    <xf numFmtId="0" fontId="5" fillId="7" borderId="14" xfId="0" applyFont="1" applyFill="1" applyBorder="1"/>
    <xf numFmtId="165" fontId="5" fillId="7" borderId="14" xfId="1" applyNumberFormat="1" applyFont="1" applyFill="1" applyBorder="1"/>
    <xf numFmtId="43" fontId="5" fillId="7" borderId="14" xfId="1" applyFont="1" applyFill="1" applyBorder="1"/>
    <xf numFmtId="0" fontId="0" fillId="0" borderId="22" xfId="0" applyBorder="1"/>
    <xf numFmtId="43" fontId="0" fillId="0" borderId="23" xfId="0" applyNumberFormat="1" applyBorder="1"/>
    <xf numFmtId="43" fontId="5" fillId="10" borderId="14" xfId="1" applyFont="1" applyFill="1" applyBorder="1"/>
    <xf numFmtId="0" fontId="0" fillId="11" borderId="0" xfId="0" applyFill="1"/>
    <xf numFmtId="43" fontId="0" fillId="11" borderId="0" xfId="0" applyNumberFormat="1" applyFill="1"/>
    <xf numFmtId="167" fontId="5" fillId="8" borderId="0" xfId="7" applyNumberFormat="1" applyFont="1" applyFill="1"/>
    <xf numFmtId="168" fontId="5" fillId="8" borderId="0" xfId="7" applyNumberFormat="1" applyFont="1" applyFill="1"/>
    <xf numFmtId="167" fontId="5" fillId="7" borderId="14" xfId="7" applyNumberFormat="1" applyFont="1" applyFill="1" applyBorder="1"/>
    <xf numFmtId="0" fontId="0" fillId="0" borderId="0" xfId="0" applyFill="1" applyBorder="1"/>
    <xf numFmtId="0" fontId="43" fillId="0" borderId="0" xfId="0" applyFont="1" applyFill="1" applyBorder="1"/>
    <xf numFmtId="14" fontId="43" fillId="0" borderId="0" xfId="0" applyNumberFormat="1" applyFont="1" applyFill="1" applyBorder="1"/>
    <xf numFmtId="0" fontId="10" fillId="0" borderId="0" xfId="0" applyFont="1" applyFill="1" applyBorder="1" applyAlignment="1">
      <alignment horizontal="center"/>
    </xf>
    <xf numFmtId="195" fontId="10" fillId="0" borderId="0" xfId="0" applyNumberFormat="1" applyFont="1" applyFill="1" applyBorder="1" applyAlignment="1">
      <alignment horizontal="center"/>
    </xf>
    <xf numFmtId="198" fontId="10" fillId="0" borderId="0" xfId="1" applyNumberFormat="1" applyFont="1" applyFill="1" applyBorder="1" applyAlignment="1">
      <alignment horizontal="center"/>
    </xf>
    <xf numFmtId="181" fontId="10" fillId="0" borderId="0" xfId="0" applyNumberFormat="1" applyFont="1" applyFill="1" applyBorder="1"/>
    <xf numFmtId="181" fontId="10" fillId="0" borderId="0" xfId="0" applyNumberFormat="1" applyFont="1" applyFill="1" applyBorder="1" applyAlignment="1">
      <alignment horizontal="center"/>
    </xf>
    <xf numFmtId="195" fontId="0" fillId="0" borderId="0" xfId="0" applyNumberFormat="1" applyFill="1" applyBorder="1"/>
    <xf numFmtId="167" fontId="5" fillId="7" borderId="17" xfId="7" applyNumberFormat="1" applyFont="1" applyFill="1" applyBorder="1"/>
    <xf numFmtId="0" fontId="20" fillId="3" borderId="8" xfId="0" applyFont="1" applyFill="1" applyBorder="1" applyAlignment="1">
      <alignment horizontal="center"/>
    </xf>
    <xf numFmtId="0" fontId="20" fillId="3" borderId="24" xfId="0" applyFont="1" applyFill="1" applyBorder="1" applyAlignment="1">
      <alignment horizontal="center"/>
    </xf>
    <xf numFmtId="0" fontId="20" fillId="3" borderId="25" xfId="0" applyFont="1" applyFill="1" applyBorder="1" applyAlignment="1">
      <alignment horizontal="center"/>
    </xf>
    <xf numFmtId="0" fontId="0" fillId="3" borderId="0" xfId="0" applyFill="1"/>
    <xf numFmtId="165" fontId="5" fillId="7" borderId="16" xfId="1" applyNumberFormat="1" applyFont="1" applyFill="1" applyBorder="1"/>
    <xf numFmtId="0" fontId="0" fillId="3" borderId="24" xfId="0" applyFill="1" applyBorder="1"/>
    <xf numFmtId="0" fontId="0" fillId="3" borderId="25" xfId="0" applyFill="1" applyBorder="1"/>
    <xf numFmtId="0" fontId="0" fillId="3" borderId="8" xfId="0" applyFill="1" applyBorder="1"/>
    <xf numFmtId="0" fontId="0" fillId="3" borderId="26" xfId="0" applyFill="1" applyBorder="1"/>
    <xf numFmtId="0" fontId="42" fillId="9" borderId="0" xfId="0" applyFont="1" applyFill="1" applyAlignment="1">
      <alignment wrapText="1"/>
    </xf>
    <xf numFmtId="43" fontId="5" fillId="7" borderId="0" xfId="1" applyFont="1" applyFill="1" applyBorder="1"/>
    <xf numFmtId="165" fontId="5" fillId="0" borderId="0" xfId="1" applyNumberFormat="1" applyFont="1" applyFill="1" applyBorder="1"/>
    <xf numFmtId="0" fontId="5" fillId="0" borderId="0" xfId="0" applyFont="1" applyFill="1" applyBorder="1"/>
    <xf numFmtId="167" fontId="5" fillId="0" borderId="0" xfId="7" applyNumberFormat="1" applyFont="1" applyFill="1" applyBorder="1"/>
    <xf numFmtId="43" fontId="5" fillId="7" borderId="27" xfId="1" applyFont="1" applyFill="1" applyBorder="1"/>
    <xf numFmtId="43" fontId="0" fillId="0" borderId="0" xfId="1" applyFont="1" applyFill="1"/>
    <xf numFmtId="193" fontId="5" fillId="10" borderId="14" xfId="1" applyNumberFormat="1" applyFont="1" applyFill="1" applyBorder="1"/>
    <xf numFmtId="193" fontId="5" fillId="3" borderId="14" xfId="1" applyNumberFormat="1" applyFont="1" applyFill="1" applyBorder="1"/>
    <xf numFmtId="193" fontId="5" fillId="7" borderId="14" xfId="1" applyNumberFormat="1" applyFont="1" applyFill="1" applyBorder="1"/>
    <xf numFmtId="193" fontId="5" fillId="7" borderId="28" xfId="1" applyNumberFormat="1" applyFont="1" applyFill="1" applyBorder="1"/>
    <xf numFmtId="0" fontId="0" fillId="0" borderId="18" xfId="0" pivotButton="1" applyBorder="1"/>
    <xf numFmtId="43" fontId="5" fillId="10" borderId="0" xfId="1" applyFont="1" applyFill="1" applyBorder="1"/>
    <xf numFmtId="43" fontId="5" fillId="3" borderId="0" xfId="1" applyFont="1" applyFill="1"/>
    <xf numFmtId="165" fontId="0" fillId="0" borderId="0" xfId="1" applyNumberFormat="1" applyFont="1"/>
    <xf numFmtId="173" fontId="0" fillId="0" borderId="0" xfId="0" applyNumberFormat="1"/>
    <xf numFmtId="173" fontId="0" fillId="0" borderId="0" xfId="1" applyNumberFormat="1" applyFont="1"/>
    <xf numFmtId="167" fontId="0" fillId="0" borderId="0" xfId="0" applyNumberFormat="1" applyFill="1"/>
    <xf numFmtId="4" fontId="20" fillId="2" borderId="0" xfId="0" applyNumberFormat="1" applyFont="1" applyFill="1"/>
    <xf numFmtId="199" fontId="20" fillId="2" borderId="0" xfId="0" applyNumberFormat="1" applyFont="1" applyFill="1"/>
    <xf numFmtId="199" fontId="34" fillId="2" borderId="0" xfId="1" applyNumberFormat="1" applyFont="1" applyFill="1" applyAlignment="1">
      <alignment horizontal="right"/>
    </xf>
    <xf numFmtId="4" fontId="34" fillId="2" borderId="0" xfId="1" applyNumberFormat="1" applyFont="1" applyFill="1" applyAlignment="1">
      <alignment horizontal="right"/>
    </xf>
    <xf numFmtId="0" fontId="1" fillId="0" borderId="0" xfId="5" applyFont="1" applyFill="1"/>
    <xf numFmtId="15" fontId="1" fillId="0" borderId="0" xfId="5" applyNumberFormat="1" applyFill="1"/>
    <xf numFmtId="165" fontId="1" fillId="0" borderId="0" xfId="5" applyNumberFormat="1" applyBorder="1"/>
    <xf numFmtId="165" fontId="1" fillId="0" borderId="0" xfId="1" applyNumberFormat="1" applyFill="1"/>
    <xf numFmtId="0" fontId="45" fillId="0" borderId="0" xfId="5" applyFont="1" applyBorder="1" applyAlignment="1">
      <alignment horizontal="right"/>
    </xf>
    <xf numFmtId="0" fontId="1" fillId="0" borderId="0" xfId="5" applyBorder="1"/>
    <xf numFmtId="15" fontId="1" fillId="0" borderId="0" xfId="5" applyNumberFormat="1" applyBorder="1"/>
    <xf numFmtId="15" fontId="45" fillId="0" borderId="0" xfId="5" applyNumberFormat="1" applyFont="1" applyFill="1" applyAlignment="1">
      <alignment horizontal="right"/>
    </xf>
    <xf numFmtId="43" fontId="1" fillId="0" borderId="0" xfId="5" applyNumberFormat="1" applyBorder="1"/>
    <xf numFmtId="165" fontId="1" fillId="0" borderId="0" xfId="1" applyNumberFormat="1" applyBorder="1"/>
    <xf numFmtId="0" fontId="20" fillId="0" borderId="0" xfId="0" applyFont="1" applyFill="1"/>
    <xf numFmtId="43" fontId="20" fillId="0" borderId="0" xfId="0" applyNumberFormat="1" applyFont="1" applyFill="1" applyBorder="1"/>
    <xf numFmtId="0" fontId="24" fillId="2" borderId="0" xfId="0" applyFont="1" applyFill="1" applyAlignment="1">
      <alignment vertical="top"/>
    </xf>
    <xf numFmtId="0" fontId="23" fillId="2" borderId="0" xfId="0" applyFont="1" applyFill="1" applyAlignment="1"/>
    <xf numFmtId="187" fontId="23" fillId="2" borderId="0" xfId="0" applyNumberFormat="1" applyFont="1" applyFill="1" applyAlignment="1">
      <alignment horizontal="right"/>
    </xf>
    <xf numFmtId="10" fontId="23" fillId="2" borderId="0" xfId="0" applyNumberFormat="1" applyFont="1" applyFill="1"/>
    <xf numFmtId="0" fontId="31" fillId="2" borderId="0" xfId="0" applyFont="1" applyFill="1"/>
    <xf numFmtId="0" fontId="0" fillId="2" borderId="0" xfId="0" applyFill="1" applyAlignment="1"/>
    <xf numFmtId="187" fontId="20" fillId="2" borderId="0" xfId="0" applyNumberFormat="1" applyFont="1" applyFill="1" applyBorder="1" applyAlignment="1">
      <alignment horizontal="right"/>
    </xf>
    <xf numFmtId="10" fontId="20" fillId="2" borderId="0" xfId="0" applyNumberFormat="1" applyFont="1" applyFill="1" applyAlignment="1"/>
    <xf numFmtId="187" fontId="20" fillId="2" borderId="0" xfId="0" applyNumberFormat="1" applyFont="1" applyFill="1" applyAlignment="1">
      <alignment horizontal="left"/>
    </xf>
    <xf numFmtId="10" fontId="20" fillId="2" borderId="0" xfId="0" applyNumberFormat="1" applyFont="1" applyFill="1" applyAlignment="1">
      <alignment horizontal="left"/>
    </xf>
    <xf numFmtId="0" fontId="20" fillId="2" borderId="0" xfId="0" applyFont="1" applyFill="1" applyAlignment="1">
      <alignment horizontal="left"/>
    </xf>
    <xf numFmtId="10" fontId="20" fillId="2" borderId="0" xfId="0" applyNumberFormat="1" applyFont="1" applyFill="1" applyAlignment="1">
      <alignment horizontal="center"/>
    </xf>
    <xf numFmtId="3" fontId="23" fillId="2" borderId="0" xfId="0" applyNumberFormat="1" applyFont="1" applyFill="1" applyAlignment="1"/>
    <xf numFmtId="3" fontId="20" fillId="2" borderId="0" xfId="0" applyNumberFormat="1" applyFont="1" applyFill="1" applyAlignment="1"/>
    <xf numFmtId="0" fontId="24" fillId="2" borderId="0" xfId="0" applyFont="1" applyFill="1" applyAlignment="1"/>
    <xf numFmtId="0" fontId="20" fillId="2" borderId="0" xfId="0" applyFont="1" applyFill="1" applyAlignment="1">
      <alignment horizontal="right" wrapText="1"/>
    </xf>
    <xf numFmtId="0" fontId="20" fillId="2" borderId="0" xfId="0" applyFont="1" applyFill="1" applyAlignment="1">
      <alignment horizontal="right"/>
    </xf>
    <xf numFmtId="0" fontId="23" fillId="2" borderId="0" xfId="0" applyFont="1" applyFill="1" applyAlignment="1">
      <alignment horizontal="left"/>
    </xf>
    <xf numFmtId="10" fontId="24" fillId="2" borderId="0" xfId="0" applyNumberFormat="1" applyFont="1" applyFill="1"/>
    <xf numFmtId="0" fontId="25" fillId="2" borderId="0" xfId="0" applyFont="1" applyFill="1" applyAlignment="1">
      <alignment horizontal="right" wrapText="1"/>
    </xf>
    <xf numFmtId="187" fontId="25" fillId="2" borderId="0" xfId="0" applyNumberFormat="1" applyFont="1" applyFill="1" applyAlignment="1">
      <alignment horizontal="right" wrapText="1"/>
    </xf>
    <xf numFmtId="10" fontId="25" fillId="2" borderId="0" xfId="0" applyNumberFormat="1" applyFont="1" applyFill="1" applyAlignment="1">
      <alignment horizontal="right" wrapText="1"/>
    </xf>
    <xf numFmtId="10" fontId="20" fillId="2" borderId="0" xfId="7" applyNumberFormat="1" applyFont="1" applyFill="1" applyAlignment="1">
      <alignment horizontal="right"/>
    </xf>
    <xf numFmtId="189" fontId="20" fillId="2" borderId="0" xfId="0" applyNumberFormat="1" applyFont="1" applyFill="1" applyAlignment="1">
      <alignment horizontal="right"/>
    </xf>
    <xf numFmtId="0" fontId="23" fillId="2" borderId="0" xfId="0" applyFont="1" applyFill="1" applyAlignment="1">
      <alignment horizontal="right"/>
    </xf>
    <xf numFmtId="10" fontId="20" fillId="2" borderId="7" xfId="0" applyNumberFormat="1" applyFont="1" applyFill="1" applyBorder="1" applyAlignment="1">
      <alignment horizontal="right"/>
    </xf>
    <xf numFmtId="189" fontId="20" fillId="2" borderId="7" xfId="0" applyNumberFormat="1" applyFont="1" applyFill="1" applyBorder="1" applyAlignment="1">
      <alignment horizontal="right"/>
    </xf>
    <xf numFmtId="10" fontId="20" fillId="2" borderId="0" xfId="7" applyNumberFormat="1" applyFont="1" applyFill="1" applyBorder="1" applyAlignment="1">
      <alignment horizontal="right"/>
    </xf>
    <xf numFmtId="10" fontId="20" fillId="2" borderId="0" xfId="7" applyNumberFormat="1" applyFont="1" applyFill="1" applyAlignment="1">
      <alignment horizontal="right" wrapText="1"/>
    </xf>
    <xf numFmtId="10" fontId="20" fillId="2" borderId="0" xfId="0" applyNumberFormat="1" applyFont="1" applyFill="1" applyAlignment="1">
      <alignment horizontal="right"/>
    </xf>
    <xf numFmtId="10" fontId="20" fillId="2" borderId="0" xfId="0" applyNumberFormat="1" applyFont="1" applyFill="1" applyBorder="1" applyAlignment="1">
      <alignment horizontal="right"/>
    </xf>
    <xf numFmtId="187" fontId="25" fillId="2" borderId="0" xfId="0" applyNumberFormat="1" applyFont="1" applyFill="1" applyAlignment="1">
      <alignment horizontal="right"/>
    </xf>
    <xf numFmtId="4" fontId="20" fillId="2" borderId="0" xfId="0" applyNumberFormat="1" applyFont="1" applyFill="1" applyAlignment="1">
      <alignment horizontal="right"/>
    </xf>
    <xf numFmtId="3" fontId="20" fillId="2" borderId="0" xfId="0" applyNumberFormat="1" applyFont="1" applyFill="1" applyAlignment="1">
      <alignment horizontal="right"/>
    </xf>
    <xf numFmtId="0" fontId="23" fillId="2" borderId="0" xfId="0" applyFont="1" applyFill="1" applyAlignment="1">
      <alignment horizontal="center" wrapText="1"/>
    </xf>
    <xf numFmtId="165" fontId="20" fillId="2" borderId="7" xfId="0" applyNumberFormat="1" applyFont="1" applyFill="1" applyBorder="1" applyAlignment="1">
      <alignment horizontal="right"/>
    </xf>
    <xf numFmtId="0" fontId="23" fillId="2" borderId="0" xfId="0" applyFont="1" applyFill="1" applyAlignment="1">
      <alignment horizontal="left" wrapText="1"/>
    </xf>
    <xf numFmtId="49" fontId="0" fillId="2" borderId="0" xfId="0" applyNumberFormat="1" applyFill="1"/>
    <xf numFmtId="10" fontId="20" fillId="2" borderId="0" xfId="0" applyNumberFormat="1" applyFont="1" applyFill="1" applyAlignment="1">
      <alignment horizontal="right" wrapText="1"/>
    </xf>
    <xf numFmtId="0" fontId="20" fillId="2" borderId="0" xfId="0" applyFont="1" applyFill="1" applyBorder="1" applyAlignment="1">
      <alignment horizontal="center"/>
    </xf>
    <xf numFmtId="0" fontId="20" fillId="2" borderId="0" xfId="0" applyFont="1" applyFill="1" applyBorder="1" applyAlignment="1">
      <alignment horizontal="center" wrapText="1"/>
    </xf>
    <xf numFmtId="10" fontId="20" fillId="2" borderId="0" xfId="0" applyNumberFormat="1" applyFont="1" applyFill="1" applyBorder="1"/>
    <xf numFmtId="187" fontId="23" fillId="2" borderId="0" xfId="0" applyNumberFormat="1" applyFont="1" applyFill="1" applyBorder="1" applyAlignment="1">
      <alignment horizontal="right" wrapText="1"/>
    </xf>
    <xf numFmtId="10" fontId="23" fillId="2" borderId="0" xfId="0" applyNumberFormat="1" applyFont="1" applyFill="1" applyBorder="1" applyAlignment="1">
      <alignment horizontal="right" wrapText="1"/>
    </xf>
    <xf numFmtId="187" fontId="25" fillId="2" borderId="0" xfId="0" applyNumberFormat="1" applyFont="1" applyFill="1" applyBorder="1" applyAlignment="1">
      <alignment horizontal="right"/>
    </xf>
    <xf numFmtId="0" fontId="20" fillId="2" borderId="0" xfId="0" applyFont="1" applyFill="1" applyBorder="1" applyAlignment="1">
      <alignment horizontal="right"/>
    </xf>
    <xf numFmtId="0" fontId="23" fillId="2" borderId="0" xfId="0" applyFont="1" applyFill="1" applyBorder="1" applyAlignment="1">
      <alignment horizontal="right" wrapText="1"/>
    </xf>
    <xf numFmtId="189" fontId="20" fillId="2" borderId="0" xfId="0" applyNumberFormat="1" applyFont="1" applyFill="1" applyBorder="1" applyAlignment="1">
      <alignment horizontal="right"/>
    </xf>
    <xf numFmtId="187" fontId="20" fillId="2" borderId="0" xfId="0" applyNumberFormat="1" applyFont="1" applyFill="1" applyBorder="1" applyAlignment="1">
      <alignment horizontal="right" wrapText="1"/>
    </xf>
    <xf numFmtId="10" fontId="20" fillId="2" borderId="0" xfId="0" applyNumberFormat="1" applyFont="1" applyFill="1" applyBorder="1" applyAlignment="1">
      <alignment horizontal="right" wrapText="1"/>
    </xf>
    <xf numFmtId="189" fontId="20" fillId="2" borderId="0" xfId="0" applyNumberFormat="1" applyFont="1" applyFill="1" applyBorder="1" applyAlignment="1">
      <alignment horizontal="right" wrapText="1"/>
    </xf>
    <xf numFmtId="6" fontId="25" fillId="2" borderId="0" xfId="0" applyNumberFormat="1" applyFont="1" applyFill="1" applyBorder="1" applyAlignment="1">
      <alignment horizontal="right" wrapText="1"/>
    </xf>
    <xf numFmtId="189" fontId="25" fillId="2" borderId="0" xfId="0" applyNumberFormat="1" applyFont="1" applyFill="1" applyAlignment="1">
      <alignment horizontal="right" wrapText="1"/>
    </xf>
    <xf numFmtId="10" fontId="20" fillId="2" borderId="0" xfId="7" applyNumberFormat="1" applyFont="1" applyFill="1" applyBorder="1"/>
    <xf numFmtId="0" fontId="23" fillId="2" borderId="0" xfId="0" applyFont="1" applyFill="1" applyBorder="1" applyAlignment="1"/>
    <xf numFmtId="0" fontId="25" fillId="2" borderId="0" xfId="0" applyFont="1" applyFill="1" applyBorder="1" applyAlignment="1">
      <alignment horizontal="right"/>
    </xf>
    <xf numFmtId="43" fontId="20" fillId="2" borderId="0" xfId="0" applyNumberFormat="1" applyFont="1" applyFill="1" applyBorder="1" applyAlignment="1">
      <alignment horizontal="right"/>
    </xf>
    <xf numFmtId="165" fontId="20" fillId="2" borderId="0" xfId="0" applyNumberFormat="1" applyFont="1" applyFill="1" applyBorder="1" applyAlignment="1">
      <alignment horizontal="right"/>
    </xf>
    <xf numFmtId="6" fontId="20" fillId="2" borderId="0" xfId="0" applyNumberFormat="1" applyFont="1" applyFill="1" applyBorder="1" applyAlignment="1"/>
    <xf numFmtId="0" fontId="25" fillId="2" borderId="0" xfId="0" applyFont="1" applyFill="1" applyBorder="1" applyAlignment="1"/>
    <xf numFmtId="0" fontId="23" fillId="2" borderId="0" xfId="0" applyFont="1" applyFill="1" applyBorder="1" applyAlignment="1">
      <alignment wrapText="1"/>
    </xf>
    <xf numFmtId="187" fontId="25" fillId="2" borderId="0" xfId="0" applyNumberFormat="1" applyFont="1" applyFill="1" applyBorder="1" applyAlignment="1">
      <alignment horizontal="right" wrapText="1"/>
    </xf>
    <xf numFmtId="3" fontId="20" fillId="2" borderId="7" xfId="0" applyNumberFormat="1" applyFont="1" applyFill="1" applyBorder="1" applyAlignment="1">
      <alignment horizontal="right"/>
    </xf>
    <xf numFmtId="6" fontId="25" fillId="2" borderId="0" xfId="0" applyNumberFormat="1" applyFont="1" applyFill="1" applyAlignment="1">
      <alignment horizontal="right"/>
    </xf>
    <xf numFmtId="49" fontId="20" fillId="2" borderId="0" xfId="0" applyNumberFormat="1" applyFont="1" applyFill="1" applyAlignment="1">
      <alignment horizontal="right"/>
    </xf>
    <xf numFmtId="10" fontId="23" fillId="2" borderId="0" xfId="0" applyNumberFormat="1" applyFont="1" applyFill="1" applyAlignment="1"/>
    <xf numFmtId="3" fontId="19" fillId="2" borderId="0" xfId="0" applyNumberFormat="1" applyFont="1" applyFill="1" applyAlignment="1"/>
    <xf numFmtId="165" fontId="37" fillId="2" borderId="0" xfId="1" applyNumberFormat="1" applyFont="1" applyFill="1" applyAlignment="1">
      <alignment horizontal="right"/>
    </xf>
    <xf numFmtId="187" fontId="19" fillId="2" borderId="0" xfId="0" applyNumberFormat="1" applyFont="1" applyFill="1" applyAlignment="1">
      <alignment horizontal="center" wrapText="1"/>
    </xf>
    <xf numFmtId="10" fontId="19" fillId="2" borderId="0" xfId="0" applyNumberFormat="1" applyFont="1" applyFill="1" applyAlignment="1">
      <alignment horizontal="center" wrapText="1"/>
    </xf>
    <xf numFmtId="10" fontId="19" fillId="2" borderId="0" xfId="0" applyNumberFormat="1" applyFont="1" applyFill="1" applyAlignment="1">
      <alignment horizontal="right" wrapText="1"/>
    </xf>
    <xf numFmtId="165" fontId="20" fillId="2" borderId="0" xfId="1" applyNumberFormat="1" applyFont="1" applyFill="1" applyAlignment="1">
      <alignment horizontal="right"/>
    </xf>
    <xf numFmtId="165" fontId="20" fillId="2" borderId="0" xfId="0" applyNumberFormat="1" applyFont="1" applyFill="1" applyAlignment="1">
      <alignment horizontal="right"/>
    </xf>
    <xf numFmtId="0" fontId="41" fillId="2" borderId="0" xfId="0" applyFont="1" applyFill="1" applyAlignment="1"/>
    <xf numFmtId="187" fontId="19" fillId="2" borderId="0" xfId="0" applyNumberFormat="1" applyFont="1" applyFill="1" applyAlignment="1">
      <alignment horizontal="right"/>
    </xf>
    <xf numFmtId="187" fontId="20" fillId="2" borderId="0" xfId="0" applyNumberFormat="1" applyFont="1" applyFill="1" applyAlignment="1">
      <alignment horizontal="left" wrapText="1"/>
    </xf>
    <xf numFmtId="187" fontId="36" fillId="2" borderId="0" xfId="3" applyNumberFormat="1" applyFont="1" applyFill="1" applyAlignment="1" applyProtection="1">
      <alignment horizontal="left"/>
    </xf>
    <xf numFmtId="171" fontId="20" fillId="2" borderId="0" xfId="7" applyNumberFormat="1" applyFont="1" applyFill="1" applyAlignment="1">
      <alignment horizontal="right"/>
    </xf>
    <xf numFmtId="168" fontId="22" fillId="2" borderId="0" xfId="7" applyNumberFormat="1" applyFont="1" applyFill="1" applyAlignment="1">
      <alignment horizontal="right"/>
    </xf>
    <xf numFmtId="168" fontId="20" fillId="2" borderId="0" xfId="7" applyNumberFormat="1" applyFont="1" applyFill="1" applyAlignment="1">
      <alignment horizontal="right"/>
    </xf>
    <xf numFmtId="4" fontId="20" fillId="2" borderId="7" xfId="0" applyNumberFormat="1" applyFont="1" applyFill="1" applyBorder="1" applyAlignment="1">
      <alignment horizontal="right"/>
    </xf>
    <xf numFmtId="0" fontId="0" fillId="2" borderId="0" xfId="0" applyFill="1"/>
    <xf numFmtId="0" fontId="20" fillId="2" borderId="29" xfId="0" applyFont="1" applyFill="1" applyBorder="1"/>
    <xf numFmtId="43" fontId="5" fillId="10" borderId="28" xfId="1" applyFont="1" applyFill="1" applyBorder="1"/>
    <xf numFmtId="49" fontId="20" fillId="2" borderId="0" xfId="0" applyNumberFormat="1" applyFont="1" applyFill="1" applyAlignment="1">
      <alignment horizontal="right" wrapText="1"/>
    </xf>
    <xf numFmtId="4" fontId="20" fillId="2" borderId="0" xfId="0" applyNumberFormat="1" applyFont="1" applyFill="1" applyAlignment="1">
      <alignment horizontal="right" wrapText="1"/>
    </xf>
    <xf numFmtId="3" fontId="20" fillId="2" borderId="0" xfId="0" applyNumberFormat="1" applyFont="1" applyFill="1" applyAlignment="1">
      <alignment horizontal="right" wrapText="1"/>
    </xf>
    <xf numFmtId="43" fontId="20" fillId="10" borderId="7" xfId="0" applyNumberFormat="1" applyFont="1" applyFill="1" applyBorder="1"/>
    <xf numFmtId="10" fontId="23" fillId="10" borderId="0" xfId="0" applyNumberFormat="1" applyFont="1" applyFill="1"/>
    <xf numFmtId="0" fontId="44" fillId="2" borderId="0" xfId="0" applyFont="1" applyFill="1" applyAlignment="1"/>
    <xf numFmtId="43" fontId="20" fillId="2" borderId="7" xfId="1" applyFont="1" applyFill="1" applyBorder="1" applyAlignment="1">
      <alignment horizontal="right"/>
    </xf>
    <xf numFmtId="0" fontId="0" fillId="2" borderId="13" xfId="0" applyFill="1" applyBorder="1"/>
    <xf numFmtId="0" fontId="0" fillId="2" borderId="0" xfId="0" applyFill="1" applyBorder="1"/>
    <xf numFmtId="0" fontId="0" fillId="0" borderId="0" xfId="0" applyNumberFormat="1" applyAlignment="1">
      <alignment wrapText="1"/>
    </xf>
    <xf numFmtId="43" fontId="20" fillId="2" borderId="7" xfId="0" applyNumberFormat="1" applyFont="1" applyFill="1" applyBorder="1" applyAlignment="1">
      <alignment horizontal="right"/>
    </xf>
    <xf numFmtId="49" fontId="0" fillId="2" borderId="24" xfId="0" applyNumberFormat="1" applyFill="1" applyBorder="1" applyAlignment="1">
      <alignment horizontal="center"/>
    </xf>
    <xf numFmtId="181" fontId="0" fillId="2" borderId="24" xfId="0" applyNumberFormat="1" applyFill="1" applyBorder="1" applyAlignment="1">
      <alignment horizontal="right"/>
    </xf>
    <xf numFmtId="49" fontId="0" fillId="2" borderId="26" xfId="0" applyNumberFormat="1" applyFill="1" applyBorder="1" applyAlignment="1">
      <alignment horizontal="center"/>
    </xf>
    <xf numFmtId="181" fontId="0" fillId="2" borderId="26" xfId="0" applyNumberFormat="1" applyFill="1" applyBorder="1" applyAlignment="1">
      <alignment horizontal="right"/>
    </xf>
    <xf numFmtId="49" fontId="0" fillId="2" borderId="25" xfId="0" applyNumberFormat="1" applyFill="1" applyBorder="1" applyAlignment="1">
      <alignment horizontal="center"/>
    </xf>
    <xf numFmtId="181" fontId="0" fillId="2" borderId="25" xfId="0" applyNumberFormat="1" applyFill="1" applyBorder="1" applyAlignment="1">
      <alignment horizontal="right"/>
    </xf>
    <xf numFmtId="49" fontId="0" fillId="2" borderId="0" xfId="0" applyNumberFormat="1" applyFill="1" applyBorder="1" applyAlignment="1">
      <alignment horizontal="center"/>
    </xf>
    <xf numFmtId="181" fontId="0" fillId="2" borderId="0" xfId="0" applyNumberFormat="1" applyFill="1" applyBorder="1" applyAlignment="1">
      <alignment horizontal="right"/>
    </xf>
    <xf numFmtId="181" fontId="0" fillId="2" borderId="24" xfId="0" applyNumberFormat="1" applyFill="1" applyBorder="1"/>
    <xf numFmtId="49" fontId="0" fillId="2" borderId="8" xfId="0" applyNumberFormat="1" applyFill="1" applyBorder="1" applyAlignment="1">
      <alignment horizontal="center"/>
    </xf>
    <xf numFmtId="181" fontId="0" fillId="2" borderId="29" xfId="0" applyNumberFormat="1" applyFill="1" applyBorder="1" applyAlignment="1">
      <alignment horizontal="right"/>
    </xf>
    <xf numFmtId="181" fontId="0" fillId="2" borderId="30" xfId="0" applyNumberFormat="1" applyFill="1" applyBorder="1"/>
    <xf numFmtId="181" fontId="0" fillId="2" borderId="33" xfId="0" applyNumberFormat="1" applyFill="1" applyBorder="1" applyAlignment="1">
      <alignment horizontal="right"/>
    </xf>
    <xf numFmtId="181" fontId="0" fillId="2" borderId="25" xfId="0" applyNumberFormat="1" applyFill="1" applyBorder="1"/>
    <xf numFmtId="0" fontId="32" fillId="2" borderId="0" xfId="0" applyFont="1" applyFill="1" applyBorder="1" applyAlignment="1"/>
    <xf numFmtId="0" fontId="19" fillId="2" borderId="0" xfId="0" applyFont="1" applyFill="1" applyAlignment="1">
      <alignment horizontal="center" wrapText="1"/>
    </xf>
    <xf numFmtId="10" fontId="20" fillId="2" borderId="0" xfId="0" applyNumberFormat="1" applyFont="1" applyFill="1" applyBorder="1" applyAlignment="1">
      <alignment horizontal="left"/>
    </xf>
    <xf numFmtId="0" fontId="23" fillId="2" borderId="17" xfId="0" applyFont="1" applyFill="1" applyBorder="1" applyAlignment="1">
      <alignment vertical="top"/>
    </xf>
    <xf numFmtId="0" fontId="0" fillId="2" borderId="29" xfId="0" applyFill="1" applyBorder="1"/>
    <xf numFmtId="3" fontId="0" fillId="2" borderId="0" xfId="0" applyNumberFormat="1" applyFill="1" applyAlignment="1">
      <alignment horizontal="left"/>
    </xf>
    <xf numFmtId="10" fontId="20" fillId="2" borderId="0" xfId="7" applyNumberFormat="1" applyFont="1" applyFill="1" applyAlignment="1">
      <alignment horizontal="left"/>
    </xf>
    <xf numFmtId="2" fontId="20" fillId="2" borderId="0" xfId="0" applyNumberFormat="1" applyFont="1" applyFill="1" applyAlignment="1">
      <alignment horizontal="left"/>
    </xf>
    <xf numFmtId="0" fontId="49" fillId="2" borderId="0" xfId="0" applyFont="1" applyFill="1" applyAlignment="1"/>
    <xf numFmtId="187" fontId="49" fillId="2" borderId="0" xfId="0" applyNumberFormat="1" applyFont="1" applyFill="1" applyAlignment="1">
      <alignment horizontal="right"/>
    </xf>
    <xf numFmtId="10" fontId="50" fillId="2" borderId="0" xfId="0" applyNumberFormat="1" applyFont="1" applyFill="1"/>
    <xf numFmtId="0" fontId="49" fillId="2" borderId="14" xfId="0" applyFont="1" applyFill="1" applyBorder="1" applyAlignment="1">
      <alignment horizontal="right"/>
    </xf>
    <xf numFmtId="188" fontId="49" fillId="2" borderId="14" xfId="0" applyNumberFormat="1" applyFont="1" applyFill="1" applyBorder="1" applyAlignment="1">
      <alignment horizontal="right"/>
    </xf>
    <xf numFmtId="186" fontId="49" fillId="2" borderId="14" xfId="0" applyNumberFormat="1" applyFont="1" applyFill="1" applyBorder="1"/>
    <xf numFmtId="0" fontId="49" fillId="2" borderId="14" xfId="0" applyFont="1" applyFill="1" applyBorder="1" applyAlignment="1">
      <alignment horizontal="left"/>
    </xf>
    <xf numFmtId="0" fontId="51" fillId="2" borderId="0" xfId="0" applyFont="1" applyFill="1" applyAlignment="1"/>
    <xf numFmtId="0" fontId="49" fillId="2" borderId="14" xfId="0" applyFont="1" applyFill="1" applyBorder="1" applyAlignment="1"/>
    <xf numFmtId="0" fontId="52" fillId="2" borderId="0" xfId="0" applyFont="1" applyFill="1" applyAlignment="1"/>
    <xf numFmtId="0" fontId="40" fillId="2" borderId="4" xfId="0" applyFont="1" applyFill="1" applyBorder="1" applyAlignment="1">
      <alignment wrapText="1"/>
    </xf>
    <xf numFmtId="0" fontId="54" fillId="2" borderId="0" xfId="0" applyFont="1" applyFill="1" applyBorder="1" applyAlignment="1"/>
    <xf numFmtId="187" fontId="20" fillId="2" borderId="10" xfId="0" applyNumberFormat="1" applyFont="1" applyFill="1" applyBorder="1" applyAlignment="1">
      <alignment horizontal="right"/>
    </xf>
    <xf numFmtId="0" fontId="20" fillId="2" borderId="1" xfId="0" applyFont="1" applyFill="1" applyBorder="1" applyAlignment="1"/>
    <xf numFmtId="187" fontId="20" fillId="2" borderId="0" xfId="0" applyNumberFormat="1" applyFont="1" applyFill="1" applyBorder="1" applyAlignment="1">
      <alignment horizontal="center"/>
    </xf>
    <xf numFmtId="0" fontId="20" fillId="2" borderId="3" xfId="0" applyFont="1" applyFill="1" applyBorder="1" applyAlignment="1"/>
    <xf numFmtId="187" fontId="20" fillId="2" borderId="4" xfId="0" applyNumberFormat="1" applyFont="1" applyFill="1" applyBorder="1" applyAlignment="1">
      <alignment horizontal="right"/>
    </xf>
    <xf numFmtId="10" fontId="20" fillId="2" borderId="4" xfId="0" applyNumberFormat="1" applyFont="1" applyFill="1" applyBorder="1"/>
    <xf numFmtId="187" fontId="20" fillId="2" borderId="5" xfId="0" applyNumberFormat="1" applyFont="1" applyFill="1" applyBorder="1" applyAlignment="1">
      <alignment horizontal="right"/>
    </xf>
    <xf numFmtId="0" fontId="23" fillId="2" borderId="9" xfId="0" applyFont="1" applyFill="1" applyBorder="1" applyAlignment="1"/>
    <xf numFmtId="10" fontId="20" fillId="2" borderId="11" xfId="0" applyNumberFormat="1" applyFont="1" applyFill="1" applyBorder="1"/>
    <xf numFmtId="3" fontId="20" fillId="2" borderId="1" xfId="0" applyNumberFormat="1" applyFont="1" applyFill="1" applyBorder="1" applyAlignment="1"/>
    <xf numFmtId="10" fontId="20" fillId="2" borderId="2" xfId="0" applyNumberFormat="1" applyFont="1" applyFill="1" applyBorder="1"/>
    <xf numFmtId="10" fontId="20" fillId="2" borderId="5" xfId="0" applyNumberFormat="1" applyFont="1" applyFill="1" applyBorder="1"/>
    <xf numFmtId="0" fontId="27" fillId="2" borderId="28" xfId="0" applyFont="1" applyFill="1" applyBorder="1" applyAlignment="1">
      <alignment vertical="top" wrapText="1"/>
    </xf>
    <xf numFmtId="0" fontId="27" fillId="2" borderId="38" xfId="0" applyFont="1" applyFill="1" applyBorder="1" applyAlignment="1">
      <alignment vertical="top" wrapText="1"/>
    </xf>
    <xf numFmtId="0" fontId="27" fillId="2" borderId="15" xfId="0" applyFont="1" applyFill="1" applyBorder="1" applyAlignment="1">
      <alignment vertical="top" wrapText="1"/>
    </xf>
    <xf numFmtId="0" fontId="20" fillId="2" borderId="38" xfId="0" applyFont="1" applyFill="1" applyBorder="1" applyAlignment="1">
      <alignment horizontal="center"/>
    </xf>
    <xf numFmtId="187" fontId="23" fillId="2" borderId="10" xfId="0" applyNumberFormat="1" applyFont="1" applyFill="1" applyBorder="1" applyAlignment="1">
      <alignment horizontal="center"/>
    </xf>
    <xf numFmtId="10" fontId="20" fillId="2" borderId="0" xfId="0" applyNumberFormat="1" applyFont="1" applyFill="1" applyBorder="1" applyAlignment="1">
      <alignment horizontal="center"/>
    </xf>
    <xf numFmtId="187" fontId="20" fillId="2" borderId="11" xfId="0" applyNumberFormat="1" applyFont="1" applyFill="1" applyBorder="1" applyAlignment="1">
      <alignment horizontal="right"/>
    </xf>
    <xf numFmtId="3" fontId="20" fillId="2" borderId="0" xfId="0" applyNumberFormat="1" applyFont="1" applyFill="1" applyBorder="1" applyAlignment="1"/>
    <xf numFmtId="187" fontId="20" fillId="2" borderId="2" xfId="0" applyNumberFormat="1" applyFont="1" applyFill="1" applyBorder="1" applyAlignment="1">
      <alignment horizontal="center"/>
    </xf>
    <xf numFmtId="0" fontId="20" fillId="2" borderId="2" xfId="0" applyFont="1" applyFill="1" applyBorder="1" applyAlignment="1">
      <alignment horizontal="center"/>
    </xf>
    <xf numFmtId="2" fontId="20" fillId="2" borderId="4" xfId="0" applyNumberFormat="1" applyFont="1" applyFill="1" applyBorder="1"/>
    <xf numFmtId="187" fontId="20" fillId="2" borderId="6" xfId="0" applyNumberFormat="1" applyFont="1" applyFill="1" applyBorder="1" applyAlignment="1">
      <alignment horizontal="right"/>
    </xf>
    <xf numFmtId="0" fontId="49" fillId="2" borderId="17" xfId="0" applyFont="1" applyFill="1" applyBorder="1" applyAlignment="1"/>
    <xf numFmtId="10" fontId="20" fillId="2" borderId="6" xfId="0" applyNumberFormat="1" applyFont="1" applyFill="1" applyBorder="1" applyAlignment="1"/>
    <xf numFmtId="187" fontId="20" fillId="2" borderId="16" xfId="0" applyNumberFormat="1" applyFont="1" applyFill="1" applyBorder="1" applyAlignment="1">
      <alignment horizontal="right"/>
    </xf>
    <xf numFmtId="0" fontId="54" fillId="2" borderId="17" xfId="0" applyFont="1" applyFill="1" applyBorder="1" applyAlignment="1"/>
    <xf numFmtId="10" fontId="20" fillId="2" borderId="6" xfId="0" applyNumberFormat="1" applyFont="1" applyFill="1" applyBorder="1" applyAlignment="1">
      <alignment vertical="top"/>
    </xf>
    <xf numFmtId="187" fontId="20" fillId="2" borderId="16" xfId="0" applyNumberFormat="1" applyFont="1" applyFill="1" applyBorder="1" applyAlignment="1">
      <alignment horizontal="right" vertical="top"/>
    </xf>
    <xf numFmtId="0" fontId="29" fillId="2" borderId="9" xfId="0" applyFont="1" applyFill="1" applyBorder="1" applyAlignment="1"/>
    <xf numFmtId="2" fontId="20" fillId="2" borderId="10" xfId="0" applyNumberFormat="1" applyFont="1" applyFill="1" applyBorder="1"/>
    <xf numFmtId="0" fontId="24" fillId="2" borderId="3" xfId="0" applyFont="1" applyFill="1" applyBorder="1" applyAlignment="1"/>
    <xf numFmtId="0" fontId="53" fillId="2" borderId="0" xfId="0" applyFont="1" applyFill="1" applyAlignment="1">
      <alignment horizontal="left"/>
    </xf>
    <xf numFmtId="0" fontId="53" fillId="2" borderId="0" xfId="0" applyFont="1" applyFill="1" applyAlignment="1">
      <alignment horizontal="center"/>
    </xf>
    <xf numFmtId="0" fontId="53" fillId="2" borderId="9" xfId="0" applyFont="1" applyFill="1" applyBorder="1" applyAlignment="1">
      <alignment horizontal="left"/>
    </xf>
    <xf numFmtId="10" fontId="23" fillId="2" borderId="9" xfId="0" applyNumberFormat="1" applyFont="1" applyFill="1" applyBorder="1" applyAlignment="1">
      <alignment horizontal="right"/>
    </xf>
    <xf numFmtId="3" fontId="20" fillId="2" borderId="1" xfId="0" applyNumberFormat="1" applyFont="1" applyFill="1" applyBorder="1" applyAlignment="1">
      <alignment horizontal="right"/>
    </xf>
    <xf numFmtId="0" fontId="23" fillId="2" borderId="28" xfId="0" applyFont="1" applyFill="1" applyBorder="1" applyAlignment="1">
      <alignment horizontal="right"/>
    </xf>
    <xf numFmtId="187" fontId="20" fillId="2" borderId="38" xfId="0" applyNumberFormat="1" applyFont="1" applyFill="1" applyBorder="1"/>
    <xf numFmtId="49" fontId="0" fillId="2" borderId="10" xfId="0" applyNumberFormat="1" applyFill="1" applyBorder="1" applyAlignment="1">
      <alignment horizontal="center"/>
    </xf>
    <xf numFmtId="181" fontId="0" fillId="2" borderId="10" xfId="0" applyNumberFormat="1" applyFill="1" applyBorder="1" applyAlignment="1">
      <alignment horizontal="right"/>
    </xf>
    <xf numFmtId="0" fontId="0" fillId="2" borderId="10" xfId="0" applyFill="1" applyBorder="1"/>
    <xf numFmtId="6" fontId="25" fillId="2" borderId="1" xfId="0" applyNumberFormat="1" applyFont="1" applyFill="1" applyBorder="1" applyAlignment="1">
      <alignment horizontal="right"/>
    </xf>
    <xf numFmtId="10" fontId="25" fillId="2" borderId="0" xfId="0" applyNumberFormat="1" applyFont="1" applyFill="1" applyBorder="1" applyAlignment="1">
      <alignment horizontal="right" wrapText="1"/>
    </xf>
    <xf numFmtId="0" fontId="0" fillId="2" borderId="39" xfId="0" applyFill="1" applyBorder="1"/>
    <xf numFmtId="0" fontId="0" fillId="2" borderId="40" xfId="0" applyFill="1" applyBorder="1"/>
    <xf numFmtId="0" fontId="0" fillId="2" borderId="1" xfId="0" applyFill="1" applyBorder="1"/>
    <xf numFmtId="0" fontId="5" fillId="5" borderId="41" xfId="0" applyFont="1" applyFill="1" applyBorder="1"/>
    <xf numFmtId="0" fontId="0" fillId="2" borderId="0" xfId="0" applyFill="1" applyBorder="1" applyAlignment="1">
      <alignment horizontal="center"/>
    </xf>
    <xf numFmtId="0" fontId="23" fillId="2" borderId="2" xfId="0" applyFont="1" applyFill="1" applyBorder="1"/>
    <xf numFmtId="0" fontId="20" fillId="2" borderId="3" xfId="0" applyFont="1" applyFill="1" applyBorder="1"/>
    <xf numFmtId="0" fontId="0" fillId="2" borderId="4" xfId="0" applyFill="1" applyBorder="1"/>
    <xf numFmtId="10" fontId="20" fillId="2" borderId="10" xfId="0" applyNumberFormat="1" applyFont="1" applyFill="1" applyBorder="1"/>
    <xf numFmtId="0" fontId="23" fillId="2" borderId="1" xfId="0" applyFont="1" applyFill="1" applyBorder="1" applyAlignment="1"/>
    <xf numFmtId="10" fontId="23" fillId="2" borderId="0" xfId="0" applyNumberFormat="1" applyFont="1" applyFill="1" applyBorder="1"/>
    <xf numFmtId="0" fontId="23" fillId="2" borderId="0" xfId="0" applyFont="1" applyFill="1" applyBorder="1" applyAlignment="1">
      <alignment horizontal="right"/>
    </xf>
    <xf numFmtId="43" fontId="20" fillId="2" borderId="4" xfId="0" applyNumberFormat="1" applyFont="1" applyFill="1" applyBorder="1" applyAlignment="1">
      <alignment horizontal="right"/>
    </xf>
    <xf numFmtId="10" fontId="20" fillId="2" borderId="4" xfId="7" applyNumberFormat="1" applyFont="1" applyFill="1" applyBorder="1" applyAlignment="1">
      <alignment horizontal="right"/>
    </xf>
    <xf numFmtId="0" fontId="20" fillId="2" borderId="16" xfId="0" applyFont="1" applyFill="1" applyBorder="1" applyAlignment="1">
      <alignment horizontal="right"/>
    </xf>
    <xf numFmtId="0" fontId="20" fillId="2" borderId="10" xfId="0" applyFont="1" applyFill="1" applyBorder="1" applyAlignment="1">
      <alignment horizontal="right"/>
    </xf>
    <xf numFmtId="3" fontId="20" fillId="2" borderId="11" xfId="0" applyNumberFormat="1" applyFont="1" applyFill="1" applyBorder="1" applyAlignment="1">
      <alignment horizontal="right"/>
    </xf>
    <xf numFmtId="0" fontId="23" fillId="2" borderId="1" xfId="0" applyFont="1" applyFill="1" applyBorder="1" applyAlignment="1">
      <alignment horizontal="right"/>
    </xf>
    <xf numFmtId="0" fontId="23" fillId="2" borderId="2" xfId="0" applyFont="1" applyFill="1" applyBorder="1" applyAlignment="1">
      <alignment horizontal="right"/>
    </xf>
    <xf numFmtId="43" fontId="20" fillId="2" borderId="1" xfId="0" applyNumberFormat="1" applyFont="1" applyFill="1" applyBorder="1" applyAlignment="1">
      <alignment horizontal="right"/>
    </xf>
    <xf numFmtId="10" fontId="20" fillId="2" borderId="2" xfId="7" applyNumberFormat="1" applyFont="1" applyFill="1" applyBorder="1" applyAlignment="1">
      <alignment horizontal="right"/>
    </xf>
    <xf numFmtId="43" fontId="20" fillId="2" borderId="3" xfId="0" applyNumberFormat="1" applyFont="1" applyFill="1" applyBorder="1" applyAlignment="1">
      <alignment horizontal="right"/>
    </xf>
    <xf numFmtId="10" fontId="20" fillId="2" borderId="5" xfId="7" applyNumberFormat="1" applyFont="1" applyFill="1" applyBorder="1" applyAlignment="1">
      <alignment horizontal="right"/>
    </xf>
    <xf numFmtId="10" fontId="20" fillId="2" borderId="1" xfId="0" applyNumberFormat="1" applyFont="1" applyFill="1" applyBorder="1"/>
    <xf numFmtId="10" fontId="23" fillId="2" borderId="17" xfId="0" applyNumberFormat="1" applyFont="1" applyFill="1" applyBorder="1"/>
    <xf numFmtId="10" fontId="19" fillId="2" borderId="6" xfId="0" applyNumberFormat="1" applyFont="1" applyFill="1" applyBorder="1" applyAlignment="1">
      <alignment horizontal="right"/>
    </xf>
    <xf numFmtId="0" fontId="19" fillId="2" borderId="16" xfId="0" applyFont="1" applyFill="1" applyBorder="1"/>
    <xf numFmtId="10" fontId="20" fillId="2" borderId="9" xfId="0" applyNumberFormat="1" applyFont="1" applyFill="1" applyBorder="1"/>
    <xf numFmtId="10" fontId="20" fillId="2" borderId="10" xfId="0" applyNumberFormat="1" applyFont="1" applyFill="1" applyBorder="1" applyAlignment="1">
      <alignment horizontal="right"/>
    </xf>
    <xf numFmtId="0" fontId="31" fillId="2" borderId="0" xfId="0" applyFont="1" applyFill="1" applyBorder="1" applyAlignment="1">
      <alignment horizontal="left" wrapText="1"/>
    </xf>
    <xf numFmtId="0" fontId="31" fillId="2" borderId="2" xfId="0" applyFont="1" applyFill="1" applyBorder="1" applyAlignment="1">
      <alignment horizontal="left" wrapText="1"/>
    </xf>
    <xf numFmtId="0" fontId="19" fillId="2" borderId="6" xfId="0" applyFont="1" applyFill="1" applyBorder="1" applyAlignment="1">
      <alignment horizontal="right"/>
    </xf>
    <xf numFmtId="0" fontId="23" fillId="2" borderId="38" xfId="0" applyFont="1" applyFill="1" applyBorder="1" applyAlignment="1"/>
    <xf numFmtId="0" fontId="20" fillId="2" borderId="38" xfId="0" applyFont="1" applyFill="1" applyBorder="1" applyAlignment="1"/>
    <xf numFmtId="0" fontId="48" fillId="2" borderId="1" xfId="0" applyFont="1" applyFill="1" applyBorder="1"/>
    <xf numFmtId="10" fontId="20" fillId="2" borderId="6" xfId="0" applyNumberFormat="1" applyFont="1" applyFill="1" applyBorder="1"/>
    <xf numFmtId="3" fontId="20" fillId="2" borderId="17" xfId="0" applyNumberFormat="1" applyFont="1" applyFill="1" applyBorder="1" applyAlignment="1">
      <alignment vertical="top"/>
    </xf>
    <xf numFmtId="0" fontId="20" fillId="2" borderId="6" xfId="0" applyFont="1" applyFill="1" applyBorder="1" applyAlignment="1">
      <alignment vertical="top"/>
    </xf>
    <xf numFmtId="10" fontId="23" fillId="2" borderId="16" xfId="0" applyNumberFormat="1" applyFont="1" applyFill="1" applyBorder="1" applyAlignment="1">
      <alignment vertical="top"/>
    </xf>
    <xf numFmtId="3" fontId="20" fillId="2" borderId="3" xfId="0" applyNumberFormat="1" applyFont="1" applyFill="1" applyBorder="1" applyAlignment="1"/>
    <xf numFmtId="0" fontId="20" fillId="2" borderId="4" xfId="0" applyFont="1" applyFill="1" applyBorder="1" applyAlignment="1"/>
    <xf numFmtId="10" fontId="23" fillId="2" borderId="11" xfId="0" applyNumberFormat="1" applyFont="1" applyFill="1" applyBorder="1"/>
    <xf numFmtId="10" fontId="23" fillId="2" borderId="2" xfId="0" applyNumberFormat="1" applyFont="1" applyFill="1" applyBorder="1"/>
    <xf numFmtId="187" fontId="20" fillId="2" borderId="1" xfId="0" applyNumberFormat="1" applyFont="1" applyFill="1" applyBorder="1" applyAlignment="1">
      <alignment horizontal="right"/>
    </xf>
    <xf numFmtId="187" fontId="20" fillId="2" borderId="3" xfId="0" applyNumberFormat="1" applyFont="1" applyFill="1" applyBorder="1" applyAlignment="1">
      <alignment horizontal="right"/>
    </xf>
    <xf numFmtId="10" fontId="23" fillId="2" borderId="5" xfId="0" applyNumberFormat="1" applyFont="1" applyFill="1" applyBorder="1"/>
    <xf numFmtId="10" fontId="20" fillId="2" borderId="16" xfId="0" applyNumberFormat="1" applyFont="1" applyFill="1" applyBorder="1"/>
    <xf numFmtId="3" fontId="23" fillId="2" borderId="9" xfId="0" applyNumberFormat="1" applyFont="1" applyFill="1" applyBorder="1" applyAlignment="1"/>
    <xf numFmtId="3" fontId="23" fillId="2" borderId="17" xfId="0" applyNumberFormat="1" applyFont="1" applyFill="1" applyBorder="1" applyAlignment="1">
      <alignment vertical="top"/>
    </xf>
    <xf numFmtId="187" fontId="20" fillId="2" borderId="6" xfId="0" applyNumberFormat="1" applyFont="1" applyFill="1" applyBorder="1" applyAlignment="1">
      <alignment horizontal="right" vertical="top"/>
    </xf>
    <xf numFmtId="10" fontId="20" fillId="2" borderId="16" xfId="0" applyNumberFormat="1" applyFont="1" applyFill="1" applyBorder="1" applyAlignment="1">
      <alignment vertical="top"/>
    </xf>
    <xf numFmtId="10" fontId="23" fillId="2" borderId="10" xfId="0" applyNumberFormat="1" applyFont="1" applyFill="1" applyBorder="1" applyAlignment="1">
      <alignment horizontal="center"/>
    </xf>
    <xf numFmtId="0" fontId="23" fillId="2" borderId="11" xfId="0" applyFont="1" applyFill="1" applyBorder="1" applyAlignment="1">
      <alignment horizontal="center"/>
    </xf>
    <xf numFmtId="10" fontId="20" fillId="2" borderId="4" xfId="0" applyNumberFormat="1" applyFont="1" applyFill="1" applyBorder="1" applyAlignment="1">
      <alignment horizontal="center"/>
    </xf>
    <xf numFmtId="187" fontId="20" fillId="2" borderId="4" xfId="0" applyNumberFormat="1" applyFont="1" applyFill="1" applyBorder="1" applyAlignment="1">
      <alignment horizontal="center"/>
    </xf>
    <xf numFmtId="0" fontId="20" fillId="2" borderId="5" xfId="0" applyFont="1" applyFill="1" applyBorder="1" applyAlignment="1">
      <alignment horizontal="center"/>
    </xf>
    <xf numFmtId="0" fontId="20" fillId="2" borderId="1" xfId="0" applyFont="1" applyFill="1" applyBorder="1" applyAlignment="1">
      <alignment horizontal="center"/>
    </xf>
    <xf numFmtId="0" fontId="20" fillId="2" borderId="3" xfId="0" applyFont="1" applyFill="1" applyBorder="1" applyAlignment="1">
      <alignment horizontal="center"/>
    </xf>
    <xf numFmtId="0" fontId="54" fillId="2" borderId="0" xfId="0" applyFont="1" applyFill="1" applyAlignment="1">
      <alignment horizontal="left"/>
    </xf>
    <xf numFmtId="3" fontId="19" fillId="2" borderId="10" xfId="0" applyNumberFormat="1" applyFont="1" applyFill="1" applyBorder="1" applyAlignment="1">
      <alignment horizontal="center" wrapText="1"/>
    </xf>
    <xf numFmtId="166" fontId="20" fillId="2" borderId="0" xfId="7" applyNumberFormat="1" applyFont="1" applyFill="1" applyBorder="1" applyAlignment="1">
      <alignment horizontal="right"/>
    </xf>
    <xf numFmtId="3" fontId="23" fillId="2" borderId="3" xfId="0" applyNumberFormat="1" applyFont="1" applyFill="1" applyBorder="1" applyAlignment="1">
      <alignment wrapText="1"/>
    </xf>
    <xf numFmtId="0" fontId="0" fillId="2" borderId="0" xfId="0" applyFill="1" applyBorder="1" applyAlignment="1">
      <alignment wrapText="1"/>
    </xf>
    <xf numFmtId="3" fontId="53" fillId="2" borderId="1" xfId="0" applyNumberFormat="1" applyFont="1" applyFill="1" applyBorder="1" applyAlignment="1"/>
    <xf numFmtId="3" fontId="53" fillId="2" borderId="9" xfId="0" applyNumberFormat="1" applyFont="1" applyFill="1" applyBorder="1" applyAlignment="1">
      <alignment wrapText="1"/>
    </xf>
    <xf numFmtId="0" fontId="27" fillId="2" borderId="9" xfId="0" applyFont="1" applyFill="1" applyBorder="1" applyAlignment="1">
      <alignment vertical="top"/>
    </xf>
    <xf numFmtId="187" fontId="55" fillId="2" borderId="10" xfId="0" applyNumberFormat="1" applyFont="1" applyFill="1" applyBorder="1" applyAlignment="1">
      <alignment horizontal="left"/>
    </xf>
    <xf numFmtId="10" fontId="55" fillId="2" borderId="10" xfId="0" applyNumberFormat="1" applyFont="1" applyFill="1" applyBorder="1" applyAlignment="1">
      <alignment vertical="top"/>
    </xf>
    <xf numFmtId="187" fontId="55" fillId="2" borderId="11" xfId="0" applyNumberFormat="1" applyFont="1" applyFill="1" applyBorder="1" applyAlignment="1">
      <alignment horizontal="right" vertical="top"/>
    </xf>
    <xf numFmtId="0" fontId="27" fillId="2" borderId="1" xfId="0" applyFont="1" applyFill="1" applyBorder="1" applyAlignment="1">
      <alignment vertical="top"/>
    </xf>
    <xf numFmtId="0" fontId="55" fillId="2" borderId="0" xfId="0" applyFont="1" applyFill="1" applyBorder="1" applyAlignment="1">
      <alignment horizontal="left" vertical="top"/>
    </xf>
    <xf numFmtId="10" fontId="55" fillId="2" borderId="0" xfId="0" applyNumberFormat="1" applyFont="1" applyFill="1" applyBorder="1" applyAlignment="1">
      <alignment vertical="top"/>
    </xf>
    <xf numFmtId="187" fontId="55" fillId="2" borderId="2" xfId="0" applyNumberFormat="1" applyFont="1" applyFill="1" applyBorder="1" applyAlignment="1">
      <alignment horizontal="right" vertical="top"/>
    </xf>
    <xf numFmtId="189" fontId="55" fillId="2" borderId="0" xfId="0" applyNumberFormat="1" applyFont="1" applyFill="1" applyBorder="1" applyAlignment="1">
      <alignment horizontal="left"/>
    </xf>
    <xf numFmtId="187" fontId="55" fillId="2" borderId="0" xfId="0" applyNumberFormat="1" applyFont="1" applyFill="1" applyBorder="1" applyAlignment="1">
      <alignment horizontal="left"/>
    </xf>
    <xf numFmtId="187" fontId="55" fillId="2" borderId="0" xfId="0" applyNumberFormat="1" applyFont="1" applyFill="1" applyBorder="1" applyAlignment="1">
      <alignment horizontal="right"/>
    </xf>
    <xf numFmtId="0" fontId="53" fillId="2" borderId="1" xfId="0" applyFont="1" applyFill="1" applyBorder="1" applyAlignment="1">
      <alignment vertical="top"/>
    </xf>
    <xf numFmtId="187" fontId="27" fillId="2" borderId="0" xfId="0" applyNumberFormat="1" applyFont="1" applyFill="1" applyBorder="1" applyAlignment="1">
      <alignment horizontal="center"/>
    </xf>
    <xf numFmtId="10" fontId="27" fillId="2" borderId="2" xfId="0" applyNumberFormat="1" applyFont="1" applyFill="1" applyBorder="1" applyAlignment="1">
      <alignment horizontal="center"/>
    </xf>
    <xf numFmtId="0" fontId="55" fillId="2" borderId="1" xfId="0" applyFont="1" applyFill="1" applyBorder="1" applyAlignment="1"/>
    <xf numFmtId="187" fontId="55" fillId="2" borderId="0" xfId="0" applyNumberFormat="1" applyFont="1" applyFill="1" applyBorder="1" applyAlignment="1">
      <alignment horizontal="center"/>
    </xf>
    <xf numFmtId="10" fontId="55" fillId="2" borderId="2" xfId="0" applyNumberFormat="1" applyFont="1" applyFill="1" applyBorder="1" applyAlignment="1">
      <alignment horizontal="center"/>
    </xf>
    <xf numFmtId="0" fontId="55" fillId="2" borderId="3" xfId="0" applyFont="1" applyFill="1" applyBorder="1" applyAlignment="1"/>
    <xf numFmtId="187" fontId="55" fillId="2" borderId="4" xfId="0" applyNumberFormat="1" applyFont="1" applyFill="1" applyBorder="1" applyAlignment="1">
      <alignment horizontal="right"/>
    </xf>
    <xf numFmtId="10" fontId="55" fillId="2" borderId="4" xfId="0" applyNumberFormat="1" applyFont="1" applyFill="1" applyBorder="1"/>
    <xf numFmtId="187" fontId="55" fillId="2" borderId="5" xfId="0" applyNumberFormat="1" applyFont="1" applyFill="1" applyBorder="1" applyAlignment="1">
      <alignment horizontal="right"/>
    </xf>
    <xf numFmtId="0" fontId="27" fillId="2" borderId="17" xfId="0" applyFont="1" applyFill="1" applyBorder="1" applyAlignment="1"/>
    <xf numFmtId="0" fontId="27" fillId="2" borderId="14" xfId="0" applyFont="1" applyFill="1" applyBorder="1" applyAlignment="1">
      <alignment horizontal="center"/>
    </xf>
    <xf numFmtId="187" fontId="27" fillId="2" borderId="16" xfId="0" applyNumberFormat="1" applyFont="1" applyFill="1" applyBorder="1" applyAlignment="1">
      <alignment horizontal="center"/>
    </xf>
    <xf numFmtId="3" fontId="53" fillId="2" borderId="0" xfId="0" applyNumberFormat="1" applyFont="1" applyFill="1" applyBorder="1" applyAlignment="1"/>
    <xf numFmtId="0" fontId="20" fillId="2" borderId="42" xfId="0" applyFont="1" applyFill="1" applyBorder="1" applyAlignment="1"/>
    <xf numFmtId="181" fontId="0" fillId="2" borderId="0" xfId="0" applyNumberFormat="1" applyFill="1" applyBorder="1"/>
    <xf numFmtId="181" fontId="0" fillId="2" borderId="13" xfId="0" applyNumberFormat="1" applyFill="1" applyBorder="1" applyAlignment="1">
      <alignment horizontal="right"/>
    </xf>
    <xf numFmtId="43" fontId="20" fillId="2" borderId="0" xfId="1" applyFont="1" applyFill="1" applyBorder="1" applyAlignment="1">
      <alignment horizontal="right"/>
    </xf>
    <xf numFmtId="10" fontId="20" fillId="2" borderId="7" xfId="0" applyNumberFormat="1" applyFont="1" applyFill="1" applyBorder="1"/>
    <xf numFmtId="189" fontId="20" fillId="2" borderId="2" xfId="0" applyNumberFormat="1" applyFont="1" applyFill="1" applyBorder="1" applyAlignment="1">
      <alignment horizontal="center"/>
    </xf>
    <xf numFmtId="187" fontId="20" fillId="2" borderId="38" xfId="0" applyNumberFormat="1" applyFont="1" applyFill="1" applyBorder="1" applyAlignment="1">
      <alignment horizontal="center"/>
    </xf>
    <xf numFmtId="10" fontId="20" fillId="2" borderId="2" xfId="0" applyNumberFormat="1" applyFont="1" applyFill="1" applyBorder="1" applyAlignment="1">
      <alignment horizontal="center"/>
    </xf>
    <xf numFmtId="2" fontId="20" fillId="2" borderId="38" xfId="0" applyNumberFormat="1" applyFont="1" applyFill="1" applyBorder="1" applyAlignment="1">
      <alignment horizontal="center"/>
    </xf>
    <xf numFmtId="10" fontId="20" fillId="2" borderId="38" xfId="0" applyNumberFormat="1" applyFont="1" applyFill="1" applyBorder="1" applyAlignment="1">
      <alignment horizontal="center"/>
    </xf>
    <xf numFmtId="2" fontId="20" fillId="2" borderId="15" xfId="0" applyNumberFormat="1" applyFont="1" applyFill="1" applyBorder="1"/>
    <xf numFmtId="172" fontId="28" fillId="13" borderId="17" xfId="6" applyNumberFormat="1" applyFont="1" applyFill="1" applyBorder="1" applyAlignment="1">
      <alignment horizontal="left" vertical="center" wrapText="1"/>
    </xf>
    <xf numFmtId="0" fontId="20" fillId="2" borderId="9" xfId="0" applyFont="1" applyFill="1" applyBorder="1" applyAlignment="1">
      <alignment horizontal="right"/>
    </xf>
    <xf numFmtId="0" fontId="20" fillId="2" borderId="28" xfId="0" applyFont="1" applyFill="1" applyBorder="1"/>
    <xf numFmtId="165" fontId="20" fillId="2" borderId="1" xfId="0" applyNumberFormat="1" applyFont="1" applyFill="1" applyBorder="1" applyAlignment="1">
      <alignment horizontal="right"/>
    </xf>
    <xf numFmtId="43" fontId="20" fillId="2" borderId="38" xfId="0" applyNumberFormat="1" applyFont="1" applyFill="1" applyBorder="1"/>
    <xf numFmtId="10" fontId="20" fillId="2" borderId="3" xfId="0" applyNumberFormat="1" applyFont="1" applyFill="1" applyBorder="1"/>
    <xf numFmtId="187" fontId="20" fillId="2" borderId="15" xfId="0" applyNumberFormat="1" applyFont="1" applyFill="1" applyBorder="1" applyAlignment="1">
      <alignment horizontal="right"/>
    </xf>
    <xf numFmtId="10" fontId="22" fillId="2" borderId="0" xfId="0" applyNumberFormat="1" applyFont="1" applyFill="1" applyAlignment="1"/>
    <xf numFmtId="0" fontId="54" fillId="2" borderId="9" xfId="0" applyFont="1" applyFill="1" applyBorder="1" applyAlignment="1">
      <alignment horizontal="left"/>
    </xf>
    <xf numFmtId="181" fontId="20" fillId="2" borderId="0" xfId="0" applyNumberFormat="1" applyFont="1" applyFill="1" applyBorder="1"/>
    <xf numFmtId="3" fontId="20" fillId="2" borderId="1" xfId="0" applyNumberFormat="1" applyFont="1" applyFill="1" applyBorder="1"/>
    <xf numFmtId="0" fontId="10" fillId="0" borderId="0" xfId="4" applyFont="1"/>
    <xf numFmtId="165" fontId="1" fillId="0" borderId="28" xfId="5" applyNumberFormat="1" applyBorder="1"/>
    <xf numFmtId="165" fontId="1" fillId="0" borderId="38" xfId="5" applyNumberFormat="1" applyBorder="1"/>
    <xf numFmtId="165" fontId="1" fillId="0" borderId="15" xfId="5" applyNumberFormat="1" applyBorder="1"/>
    <xf numFmtId="165" fontId="1" fillId="0" borderId="9" xfId="1" applyNumberFormat="1" applyBorder="1"/>
    <xf numFmtId="165" fontId="1" fillId="0" borderId="10" xfId="1" applyNumberFormat="1" applyBorder="1"/>
    <xf numFmtId="165" fontId="1" fillId="0" borderId="11" xfId="1" applyNumberFormat="1" applyBorder="1"/>
    <xf numFmtId="165" fontId="1" fillId="0" borderId="1" xfId="1" applyNumberFormat="1" applyBorder="1"/>
    <xf numFmtId="165" fontId="1" fillId="0" borderId="2" xfId="1" applyNumberFormat="1" applyBorder="1"/>
    <xf numFmtId="165" fontId="1" fillId="0" borderId="3" xfId="1" applyNumberFormat="1" applyFill="1" applyBorder="1"/>
    <xf numFmtId="165" fontId="1" fillId="0" borderId="4" xfId="1" applyNumberFormat="1" applyBorder="1"/>
    <xf numFmtId="165" fontId="1" fillId="0" borderId="5" xfId="1" applyNumberFormat="1" applyBorder="1"/>
    <xf numFmtId="15" fontId="1" fillId="0" borderId="9" xfId="5" applyNumberFormat="1" applyFill="1" applyBorder="1"/>
    <xf numFmtId="15" fontId="1" fillId="0" borderId="11" xfId="5" applyNumberFormat="1" applyFont="1" applyFill="1" applyBorder="1"/>
    <xf numFmtId="15" fontId="1" fillId="0" borderId="1" xfId="5" applyNumberFormat="1" applyFill="1" applyBorder="1"/>
    <xf numFmtId="15" fontId="1" fillId="0" borderId="2" xfId="5" applyNumberFormat="1" applyFont="1" applyFill="1" applyBorder="1"/>
    <xf numFmtId="15" fontId="1" fillId="0" borderId="3" xfId="5" applyNumberFormat="1" applyFill="1" applyBorder="1"/>
    <xf numFmtId="15" fontId="1" fillId="0" borderId="5" xfId="5" applyNumberFormat="1" applyFont="1" applyFill="1" applyBorder="1"/>
    <xf numFmtId="0" fontId="20" fillId="10" borderId="0" xfId="0" applyFont="1" applyFill="1"/>
    <xf numFmtId="0" fontId="1" fillId="0" borderId="4" xfId="1" applyNumberFormat="1" applyFill="1" applyBorder="1"/>
    <xf numFmtId="0" fontId="1" fillId="0" borderId="4" xfId="5" applyFont="1" applyBorder="1"/>
    <xf numFmtId="10" fontId="20" fillId="0" borderId="0" xfId="0" applyNumberFormat="1" applyFont="1" applyFill="1" applyBorder="1"/>
    <xf numFmtId="15" fontId="1" fillId="0" borderId="14" xfId="5" applyNumberFormat="1" applyFont="1" applyBorder="1" applyAlignment="1">
      <alignment horizontal="center"/>
    </xf>
    <xf numFmtId="188" fontId="49" fillId="2" borderId="0" xfId="0" applyNumberFormat="1" applyFont="1" applyFill="1" applyBorder="1" applyAlignment="1">
      <alignment horizontal="right"/>
    </xf>
    <xf numFmtId="0" fontId="1" fillId="0" borderId="11" xfId="5" applyBorder="1"/>
    <xf numFmtId="0" fontId="5" fillId="0" borderId="0" xfId="5" applyFont="1" applyBorder="1"/>
    <xf numFmtId="0" fontId="1" fillId="4" borderId="9" xfId="5" applyFill="1" applyBorder="1"/>
    <xf numFmtId="0" fontId="1" fillId="4" borderId="10" xfId="5" applyFill="1" applyBorder="1"/>
    <xf numFmtId="0" fontId="1" fillId="4" borderId="1" xfId="5" applyFill="1" applyBorder="1"/>
    <xf numFmtId="0" fontId="1" fillId="4" borderId="0" xfId="5" applyFill="1" applyBorder="1"/>
    <xf numFmtId="0" fontId="1" fillId="4" borderId="3" xfId="5" applyFill="1" applyBorder="1"/>
    <xf numFmtId="0" fontId="1" fillId="4" borderId="4" xfId="5" applyFill="1" applyBorder="1"/>
    <xf numFmtId="10" fontId="20" fillId="2" borderId="12" xfId="0" applyNumberFormat="1" applyFont="1" applyFill="1" applyBorder="1" applyAlignment="1">
      <alignment horizontal="right"/>
    </xf>
    <xf numFmtId="0" fontId="25" fillId="2" borderId="0" xfId="0" applyFont="1" applyFill="1" applyBorder="1" applyAlignment="1">
      <alignment horizontal="right" wrapText="1"/>
    </xf>
    <xf numFmtId="3" fontId="0" fillId="2" borderId="38" xfId="0" applyNumberFormat="1" applyFill="1" applyBorder="1" applyAlignment="1">
      <alignment horizontal="center"/>
    </xf>
    <xf numFmtId="187" fontId="23" fillId="3" borderId="0" xfId="0" applyNumberFormat="1" applyFont="1" applyFill="1" applyAlignment="1">
      <alignment horizontal="right"/>
    </xf>
    <xf numFmtId="10" fontId="27" fillId="2" borderId="0" xfId="0" applyNumberFormat="1" applyFont="1" applyFill="1" applyAlignment="1"/>
    <xf numFmtId="165" fontId="58" fillId="2" borderId="0" xfId="1" applyNumberFormat="1" applyFont="1" applyFill="1" applyAlignment="1">
      <alignment horizontal="right"/>
    </xf>
    <xf numFmtId="186" fontId="55" fillId="2" borderId="0" xfId="0" applyNumberFormat="1" applyFont="1" applyFill="1" applyAlignment="1">
      <alignment horizontal="center"/>
    </xf>
    <xf numFmtId="0" fontId="55" fillId="2" borderId="0" xfId="0" applyFont="1" applyFill="1"/>
    <xf numFmtId="3" fontId="53" fillId="2" borderId="10" xfId="0" applyNumberFormat="1" applyFont="1" applyFill="1" applyBorder="1" applyAlignment="1">
      <alignment horizontal="center" wrapText="1"/>
    </xf>
    <xf numFmtId="3" fontId="27" fillId="2" borderId="1" xfId="0" applyNumberFormat="1" applyFont="1" applyFill="1" applyBorder="1" applyAlignment="1"/>
    <xf numFmtId="10" fontId="55" fillId="2" borderId="0" xfId="0" applyNumberFormat="1" applyFont="1" applyFill="1" applyBorder="1"/>
    <xf numFmtId="0" fontId="55" fillId="2" borderId="0" xfId="0" applyFont="1" applyFill="1" applyBorder="1"/>
    <xf numFmtId="192" fontId="55" fillId="2" borderId="0" xfId="0" applyNumberFormat="1" applyFont="1" applyFill="1" applyBorder="1" applyAlignment="1">
      <alignment horizontal="center"/>
    </xf>
    <xf numFmtId="10" fontId="27" fillId="2" borderId="1" xfId="0" applyNumberFormat="1" applyFont="1" applyFill="1" applyBorder="1" applyAlignment="1"/>
    <xf numFmtId="186" fontId="55" fillId="2" borderId="0" xfId="0" applyNumberFormat="1" applyFont="1" applyFill="1" applyBorder="1" applyAlignment="1">
      <alignment horizontal="center"/>
    </xf>
    <xf numFmtId="3" fontId="27" fillId="2" borderId="1" xfId="0" applyNumberFormat="1" applyFont="1" applyFill="1" applyBorder="1" applyAlignment="1">
      <alignment wrapText="1"/>
    </xf>
    <xf numFmtId="3" fontId="53" fillId="2" borderId="0" xfId="0" applyNumberFormat="1" applyFont="1" applyFill="1" applyBorder="1" applyAlignment="1">
      <alignment horizontal="center" wrapText="1"/>
    </xf>
    <xf numFmtId="3" fontId="53" fillId="2" borderId="2" xfId="0" applyNumberFormat="1" applyFont="1" applyFill="1" applyBorder="1" applyAlignment="1">
      <alignment horizontal="center" wrapText="1"/>
    </xf>
    <xf numFmtId="0" fontId="55" fillId="2" borderId="1" xfId="5" applyFont="1" applyFill="1" applyBorder="1" applyAlignment="1"/>
    <xf numFmtId="0" fontId="55" fillId="2" borderId="0" xfId="0" applyFont="1" applyFill="1" applyBorder="1" applyAlignment="1">
      <alignment horizontal="center"/>
    </xf>
    <xf numFmtId="0" fontId="55" fillId="2" borderId="2" xfId="0" applyFont="1" applyFill="1" applyBorder="1" applyAlignment="1">
      <alignment horizontal="center"/>
    </xf>
    <xf numFmtId="196" fontId="55" fillId="2" borderId="0" xfId="0" applyNumberFormat="1" applyFont="1" applyFill="1" applyBorder="1" applyAlignment="1">
      <alignment horizontal="center"/>
    </xf>
    <xf numFmtId="195" fontId="55" fillId="2" borderId="0" xfId="0" applyNumberFormat="1" applyFont="1" applyFill="1" applyBorder="1" applyAlignment="1">
      <alignment horizontal="center"/>
    </xf>
    <xf numFmtId="194" fontId="55" fillId="2" borderId="0" xfId="0" applyNumberFormat="1" applyFont="1" applyFill="1" applyBorder="1" applyAlignment="1">
      <alignment horizontal="center"/>
    </xf>
    <xf numFmtId="194" fontId="55" fillId="2" borderId="2" xfId="0" applyNumberFormat="1" applyFont="1" applyFill="1" applyBorder="1" applyAlignment="1">
      <alignment horizontal="center"/>
    </xf>
    <xf numFmtId="195" fontId="55" fillId="2" borderId="2" xfId="0" applyNumberFormat="1" applyFont="1" applyFill="1" applyBorder="1" applyAlignment="1">
      <alignment horizontal="center"/>
    </xf>
    <xf numFmtId="0" fontId="55" fillId="2" borderId="0" xfId="0" applyFont="1" applyFill="1" applyBorder="1" applyAlignment="1">
      <alignment horizontal="center" wrapText="1"/>
    </xf>
    <xf numFmtId="0" fontId="55" fillId="2" borderId="2" xfId="0" applyFont="1" applyFill="1" applyBorder="1" applyAlignment="1">
      <alignment horizontal="center" wrapText="1"/>
    </xf>
    <xf numFmtId="191" fontId="55" fillId="2" borderId="0" xfId="0" applyNumberFormat="1" applyFont="1" applyFill="1" applyBorder="1" applyAlignment="1">
      <alignment horizontal="center"/>
    </xf>
    <xf numFmtId="191" fontId="55" fillId="2" borderId="2" xfId="0" applyNumberFormat="1" applyFont="1" applyFill="1" applyBorder="1" applyAlignment="1">
      <alignment horizontal="center"/>
    </xf>
    <xf numFmtId="186" fontId="55" fillId="2" borderId="2" xfId="0" applyNumberFormat="1" applyFont="1" applyFill="1" applyBorder="1" applyAlignment="1">
      <alignment horizontal="center"/>
    </xf>
    <xf numFmtId="0" fontId="55" fillId="2" borderId="4" xfId="0" applyFont="1" applyFill="1" applyBorder="1"/>
    <xf numFmtId="192" fontId="55" fillId="2" borderId="4" xfId="0" applyNumberFormat="1" applyFont="1" applyFill="1" applyBorder="1" applyAlignment="1">
      <alignment horizontal="center"/>
    </xf>
    <xf numFmtId="0" fontId="55" fillId="2" borderId="0" xfId="0" applyFont="1" applyFill="1" applyBorder="1" applyAlignment="1"/>
    <xf numFmtId="10" fontId="55" fillId="2" borderId="0" xfId="0" applyNumberFormat="1" applyFont="1" applyFill="1"/>
    <xf numFmtId="192" fontId="55" fillId="2" borderId="0" xfId="0" applyNumberFormat="1" applyFont="1" applyFill="1" applyAlignment="1">
      <alignment horizontal="center"/>
    </xf>
    <xf numFmtId="187" fontId="20" fillId="14" borderId="14" xfId="0" applyNumberFormat="1" applyFont="1" applyFill="1" applyBorder="1" applyAlignment="1">
      <alignment horizontal="left" vertical="top"/>
    </xf>
    <xf numFmtId="0" fontId="28" fillId="13" borderId="17" xfId="6" applyFont="1" applyFill="1" applyBorder="1" applyAlignment="1">
      <alignment horizontal="left" vertical="top" wrapText="1"/>
    </xf>
    <xf numFmtId="0" fontId="28" fillId="13" borderId="16" xfId="6" applyFont="1" applyFill="1" applyBorder="1" applyAlignment="1">
      <alignment horizontal="left" vertical="top" wrapText="1"/>
    </xf>
    <xf numFmtId="0" fontId="20" fillId="2" borderId="17" xfId="0" applyFont="1" applyFill="1" applyBorder="1" applyAlignment="1">
      <alignment vertical="top"/>
    </xf>
    <xf numFmtId="0" fontId="20" fillId="2" borderId="14" xfId="0" applyFont="1" applyFill="1" applyBorder="1" applyAlignment="1">
      <alignment vertical="top" wrapText="1"/>
    </xf>
    <xf numFmtId="207" fontId="55" fillId="2" borderId="0" xfId="0" applyNumberFormat="1" applyFont="1" applyFill="1" applyBorder="1" applyAlignment="1">
      <alignment horizontal="center"/>
    </xf>
    <xf numFmtId="187" fontId="20" fillId="4" borderId="14" xfId="0" applyNumberFormat="1" applyFont="1" applyFill="1" applyBorder="1" applyAlignment="1">
      <alignment horizontal="left" vertical="top"/>
    </xf>
    <xf numFmtId="187" fontId="19" fillId="2" borderId="0" xfId="0" applyNumberFormat="1" applyFont="1" applyFill="1" applyAlignment="1">
      <alignment horizontal="left"/>
    </xf>
    <xf numFmtId="10" fontId="19" fillId="2" borderId="0" xfId="0" applyNumberFormat="1" applyFont="1" applyFill="1"/>
    <xf numFmtId="172" fontId="28" fillId="0" borderId="14" xfId="6" applyNumberFormat="1" applyFont="1" applyFill="1" applyBorder="1" applyAlignment="1">
      <alignment horizontal="left" vertical="center" wrapText="1"/>
    </xf>
    <xf numFmtId="49" fontId="20" fillId="2" borderId="0" xfId="0" applyNumberFormat="1" applyFont="1" applyFill="1" applyBorder="1" applyAlignment="1">
      <alignment horizontal="right"/>
    </xf>
    <xf numFmtId="187" fontId="20" fillId="2" borderId="0" xfId="1" applyNumberFormat="1" applyFont="1" applyFill="1" applyBorder="1"/>
    <xf numFmtId="49" fontId="20" fillId="2" borderId="0" xfId="0" applyNumberFormat="1" applyFont="1" applyFill="1" applyBorder="1" applyAlignment="1">
      <alignment horizontal="right" wrapText="1"/>
    </xf>
    <xf numFmtId="187" fontId="20" fillId="2" borderId="0" xfId="1" applyNumberFormat="1" applyFont="1" applyFill="1" applyAlignment="1">
      <alignment horizontal="right"/>
    </xf>
    <xf numFmtId="187" fontId="20" fillId="2" borderId="0" xfId="1" applyNumberFormat="1" applyFont="1" applyFill="1"/>
    <xf numFmtId="189" fontId="20" fillId="2" borderId="0" xfId="0" applyNumberFormat="1" applyFont="1" applyFill="1"/>
    <xf numFmtId="189" fontId="20" fillId="2" borderId="7" xfId="1" applyNumberFormat="1" applyFont="1" applyFill="1" applyBorder="1"/>
    <xf numFmtId="0" fontId="19" fillId="2" borderId="0" xfId="0" applyFont="1" applyFill="1" applyBorder="1"/>
    <xf numFmtId="10" fontId="19" fillId="2" borderId="0" xfId="0" applyNumberFormat="1" applyFont="1" applyFill="1" applyBorder="1" applyAlignment="1">
      <alignment horizontal="right"/>
    </xf>
    <xf numFmtId="10" fontId="20" fillId="2" borderId="4" xfId="0" applyNumberFormat="1" applyFont="1" applyFill="1" applyBorder="1" applyAlignment="1">
      <alignment horizontal="right"/>
    </xf>
    <xf numFmtId="0" fontId="0" fillId="0" borderId="0" xfId="0" applyFill="1" applyBorder="1" applyAlignment="1">
      <alignment vertical="top" wrapText="1"/>
    </xf>
    <xf numFmtId="0" fontId="26" fillId="2" borderId="0" xfId="0" applyFont="1" applyFill="1" applyBorder="1" applyAlignment="1">
      <alignment horizontal="right" vertical="top" wrapText="1"/>
    </xf>
    <xf numFmtId="0" fontId="31" fillId="2" borderId="11" xfId="0" applyFont="1" applyFill="1" applyBorder="1"/>
    <xf numFmtId="3" fontId="23" fillId="2" borderId="1" xfId="0" applyNumberFormat="1" applyFont="1" applyFill="1" applyBorder="1" applyAlignment="1"/>
    <xf numFmtId="0" fontId="23" fillId="2" borderId="1" xfId="0" applyFont="1" applyFill="1" applyBorder="1" applyAlignment="1">
      <alignment vertical="top"/>
    </xf>
    <xf numFmtId="187" fontId="19" fillId="2" borderId="0" xfId="0" applyNumberFormat="1" applyFont="1" applyFill="1" applyBorder="1" applyAlignment="1">
      <alignment horizontal="right" wrapText="1" indent="3"/>
    </xf>
    <xf numFmtId="0" fontId="20" fillId="2" borderId="1" xfId="0" applyFont="1" applyFill="1" applyBorder="1" applyAlignment="1">
      <alignment vertical="top"/>
    </xf>
    <xf numFmtId="187" fontId="23" fillId="2" borderId="0" xfId="0" applyNumberFormat="1" applyFont="1" applyFill="1" applyBorder="1" applyAlignment="1">
      <alignment horizontal="right"/>
    </xf>
    <xf numFmtId="187" fontId="20" fillId="2" borderId="0" xfId="0" applyNumberFormat="1" applyFont="1" applyFill="1" applyBorder="1"/>
    <xf numFmtId="0" fontId="19" fillId="2" borderId="1" xfId="0" applyFont="1" applyFill="1" applyBorder="1" applyAlignment="1">
      <alignment vertical="top"/>
    </xf>
    <xf numFmtId="187" fontId="20" fillId="2" borderId="0" xfId="1" applyNumberFormat="1" applyFont="1" applyFill="1" applyBorder="1" applyAlignment="1">
      <alignment horizontal="right" wrapText="1"/>
    </xf>
    <xf numFmtId="187" fontId="20" fillId="2" borderId="0" xfId="0" quotePrefix="1" applyNumberFormat="1" applyFont="1" applyFill="1" applyBorder="1" applyAlignment="1">
      <alignment horizontal="right"/>
    </xf>
    <xf numFmtId="43" fontId="20" fillId="2" borderId="0" xfId="1" applyFont="1" applyFill="1" applyBorder="1" applyAlignment="1">
      <alignment vertical="top" wrapText="1"/>
    </xf>
    <xf numFmtId="43" fontId="20" fillId="2" borderId="0" xfId="1" applyNumberFormat="1" applyFont="1" applyFill="1" applyBorder="1" applyAlignment="1">
      <alignment horizontal="right" vertical="top" wrapText="1"/>
    </xf>
    <xf numFmtId="0" fontId="24" fillId="2" borderId="1" xfId="0" applyFont="1" applyFill="1" applyBorder="1" applyAlignment="1">
      <alignment vertical="top"/>
    </xf>
    <xf numFmtId="43" fontId="20" fillId="2" borderId="0" xfId="0" applyNumberFormat="1" applyFont="1" applyFill="1" applyBorder="1" applyAlignment="1">
      <alignment vertical="top" wrapText="1"/>
    </xf>
    <xf numFmtId="10" fontId="23" fillId="2" borderId="1" xfId="0" applyNumberFormat="1" applyFont="1" applyFill="1" applyBorder="1" applyAlignment="1"/>
    <xf numFmtId="43" fontId="20" fillId="2" borderId="0" xfId="1" applyNumberFormat="1" applyFont="1" applyFill="1" applyBorder="1" applyAlignment="1">
      <alignment vertical="top" wrapText="1"/>
    </xf>
    <xf numFmtId="0" fontId="23" fillId="2" borderId="1" xfId="0" applyFont="1" applyFill="1" applyBorder="1" applyAlignment="1">
      <alignment horizontal="left" vertical="top" wrapText="1"/>
    </xf>
    <xf numFmtId="197" fontId="20" fillId="2" borderId="0" xfId="0" applyNumberFormat="1" applyFont="1" applyFill="1" applyBorder="1" applyAlignment="1">
      <alignment horizontal="left"/>
    </xf>
    <xf numFmtId="3" fontId="19" fillId="2" borderId="0" xfId="0" applyNumberFormat="1" applyFont="1" applyFill="1" applyAlignment="1">
      <alignment horizontal="center" wrapText="1"/>
    </xf>
    <xf numFmtId="165" fontId="37" fillId="2" borderId="2" xfId="1" applyNumberFormat="1" applyFont="1" applyFill="1" applyBorder="1" applyAlignment="1">
      <alignment horizontal="right"/>
    </xf>
    <xf numFmtId="194" fontId="20" fillId="2" borderId="0" xfId="0" applyNumberFormat="1" applyFont="1" applyFill="1" applyAlignment="1">
      <alignment horizontal="center"/>
    </xf>
    <xf numFmtId="196" fontId="20" fillId="2" borderId="0" xfId="0" applyNumberFormat="1" applyFont="1" applyFill="1" applyAlignment="1">
      <alignment horizontal="center"/>
    </xf>
    <xf numFmtId="195" fontId="20" fillId="2" borderId="0" xfId="0" applyNumberFormat="1" applyFont="1" applyFill="1" applyAlignment="1">
      <alignment horizontal="center"/>
    </xf>
    <xf numFmtId="192" fontId="20" fillId="2" borderId="0" xfId="0" applyNumberFormat="1" applyFont="1" applyFill="1" applyAlignment="1">
      <alignment horizontal="center"/>
    </xf>
    <xf numFmtId="186" fontId="20" fillId="2" borderId="0" xfId="0" applyNumberFormat="1" applyFont="1" applyFill="1" applyAlignment="1">
      <alignment horizontal="center"/>
    </xf>
    <xf numFmtId="3" fontId="19" fillId="2" borderId="0" xfId="0" applyNumberFormat="1" applyFont="1" applyFill="1" applyBorder="1" applyAlignment="1">
      <alignment horizontal="center" wrapText="1"/>
    </xf>
    <xf numFmtId="0" fontId="46" fillId="2" borderId="0" xfId="0" applyFont="1" applyFill="1" applyAlignment="1"/>
    <xf numFmtId="187" fontId="19" fillId="2" borderId="0" xfId="0" applyNumberFormat="1" applyFont="1" applyFill="1" applyAlignment="1">
      <alignment horizontal="right" wrapText="1"/>
    </xf>
    <xf numFmtId="187" fontId="21" fillId="2" borderId="0" xfId="0" applyNumberFormat="1" applyFont="1" applyFill="1" applyAlignment="1">
      <alignment horizontal="right" wrapText="1"/>
    </xf>
    <xf numFmtId="165" fontId="20" fillId="2" borderId="0" xfId="0" applyNumberFormat="1" applyFont="1" applyFill="1" applyAlignment="1">
      <alignment horizontal="right" wrapText="1"/>
    </xf>
    <xf numFmtId="189" fontId="20" fillId="2" borderId="0" xfId="0" applyNumberFormat="1" applyFont="1" applyFill="1" applyAlignment="1">
      <alignment horizontal="right" wrapText="1"/>
    </xf>
    <xf numFmtId="43" fontId="20" fillId="2" borderId="0" xfId="0" applyNumberFormat="1" applyFont="1" applyFill="1" applyAlignment="1">
      <alignment horizontal="right" wrapText="1"/>
    </xf>
    <xf numFmtId="43" fontId="20" fillId="2" borderId="0" xfId="0" applyNumberFormat="1" applyFont="1" applyFill="1" applyAlignment="1">
      <alignment horizontal="right"/>
    </xf>
    <xf numFmtId="43" fontId="20" fillId="2" borderId="0" xfId="1" applyFont="1" applyFill="1" applyAlignment="1">
      <alignment horizontal="right"/>
    </xf>
    <xf numFmtId="187" fontId="19" fillId="2" borderId="10" xfId="0" applyNumberFormat="1" applyFont="1" applyFill="1" applyBorder="1" applyAlignment="1">
      <alignment horizontal="center" wrapText="1"/>
    </xf>
    <xf numFmtId="10" fontId="19" fillId="2" borderId="10" xfId="0" applyNumberFormat="1" applyFont="1" applyFill="1" applyBorder="1" applyAlignment="1">
      <alignment horizontal="center" wrapText="1"/>
    </xf>
    <xf numFmtId="3" fontId="23" fillId="2" borderId="1" xfId="0" applyNumberFormat="1" applyFont="1" applyFill="1" applyBorder="1" applyAlignment="1">
      <alignment wrapText="1"/>
    </xf>
    <xf numFmtId="187" fontId="19" fillId="2" borderId="0" xfId="0" applyNumberFormat="1" applyFont="1" applyFill="1" applyBorder="1" applyAlignment="1">
      <alignment horizontal="center" wrapText="1"/>
    </xf>
    <xf numFmtId="10" fontId="19" fillId="2" borderId="0" xfId="0" applyNumberFormat="1" applyFont="1" applyFill="1" applyBorder="1" applyAlignment="1">
      <alignment horizontal="center" wrapText="1"/>
    </xf>
    <xf numFmtId="0" fontId="20" fillId="2" borderId="1" xfId="5" applyFont="1" applyFill="1" applyBorder="1" applyAlignment="1"/>
    <xf numFmtId="196" fontId="20" fillId="2" borderId="0" xfId="0" applyNumberFormat="1" applyFont="1" applyFill="1" applyBorder="1" applyAlignment="1">
      <alignment horizontal="center"/>
    </xf>
    <xf numFmtId="194" fontId="20" fillId="2" borderId="0" xfId="0" applyNumberFormat="1" applyFont="1" applyFill="1" applyBorder="1" applyAlignment="1">
      <alignment horizontal="center"/>
    </xf>
    <xf numFmtId="195" fontId="20" fillId="2" borderId="0" xfId="0" applyNumberFormat="1" applyFont="1" applyFill="1" applyBorder="1" applyAlignment="1">
      <alignment horizontal="center"/>
    </xf>
    <xf numFmtId="190" fontId="35" fillId="2" borderId="0" xfId="0" applyNumberFormat="1" applyFont="1" applyFill="1" applyBorder="1" applyAlignment="1">
      <alignment horizontal="center"/>
    </xf>
    <xf numFmtId="208" fontId="20" fillId="2" borderId="0" xfId="0" applyNumberFormat="1" applyFont="1" applyFill="1" applyBorder="1" applyAlignment="1">
      <alignment horizontal="center"/>
    </xf>
    <xf numFmtId="207" fontId="20" fillId="2" borderId="0" xfId="0" applyNumberFormat="1" applyFont="1" applyFill="1" applyBorder="1" applyAlignment="1">
      <alignment horizontal="center"/>
    </xf>
    <xf numFmtId="194" fontId="20" fillId="2" borderId="0" xfId="0" applyNumberFormat="1" applyFont="1" applyFill="1" applyBorder="1"/>
    <xf numFmtId="192" fontId="20" fillId="2" borderId="0" xfId="0" applyNumberFormat="1" applyFont="1" applyFill="1" applyBorder="1" applyAlignment="1">
      <alignment horizontal="center"/>
    </xf>
    <xf numFmtId="209" fontId="20" fillId="2" borderId="0" xfId="0" applyNumberFormat="1" applyFont="1" applyFill="1" applyBorder="1" applyAlignment="1">
      <alignment horizontal="center"/>
    </xf>
    <xf numFmtId="210" fontId="20" fillId="2" borderId="0" xfId="0" applyNumberFormat="1" applyFont="1" applyFill="1" applyBorder="1" applyAlignment="1">
      <alignment horizontal="center"/>
    </xf>
    <xf numFmtId="168" fontId="20" fillId="2" borderId="0" xfId="7" applyNumberFormat="1" applyFont="1" applyFill="1" applyBorder="1" applyAlignment="1">
      <alignment horizontal="center"/>
    </xf>
    <xf numFmtId="2" fontId="38" fillId="2" borderId="0" xfId="0" applyNumberFormat="1" applyFont="1" applyFill="1" applyBorder="1" applyAlignment="1">
      <alignment horizontal="center"/>
    </xf>
    <xf numFmtId="191" fontId="20" fillId="2" borderId="0" xfId="0" applyNumberFormat="1" applyFont="1" applyFill="1" applyBorder="1" applyAlignment="1">
      <alignment horizontal="center"/>
    </xf>
    <xf numFmtId="186" fontId="20" fillId="2" borderId="0" xfId="0" applyNumberFormat="1" applyFont="1" applyFill="1" applyBorder="1" applyAlignment="1">
      <alignment horizontal="center"/>
    </xf>
    <xf numFmtId="186" fontId="20" fillId="2" borderId="0" xfId="0" applyNumberFormat="1" applyFont="1" applyFill="1" applyBorder="1" applyAlignment="1">
      <alignment horizontal="right"/>
    </xf>
    <xf numFmtId="186" fontId="20" fillId="2" borderId="0" xfId="0" applyNumberFormat="1" applyFont="1" applyFill="1" applyBorder="1"/>
    <xf numFmtId="165" fontId="37" fillId="2" borderId="0" xfId="1" applyNumberFormat="1" applyFont="1" applyFill="1" applyBorder="1" applyAlignment="1">
      <alignment horizontal="right"/>
    </xf>
    <xf numFmtId="186" fontId="20" fillId="2" borderId="2" xfId="0" applyNumberFormat="1" applyFont="1" applyFill="1" applyBorder="1" applyAlignment="1">
      <alignment horizontal="center"/>
    </xf>
    <xf numFmtId="196" fontId="19" fillId="2" borderId="0" xfId="0" applyNumberFormat="1" applyFont="1" applyFill="1" applyBorder="1" applyAlignment="1">
      <alignment horizontal="center"/>
    </xf>
    <xf numFmtId="194" fontId="19" fillId="2" borderId="0" xfId="0" applyNumberFormat="1" applyFont="1" applyFill="1" applyBorder="1" applyAlignment="1">
      <alignment horizontal="center"/>
    </xf>
    <xf numFmtId="208" fontId="19" fillId="2" borderId="0" xfId="0" applyNumberFormat="1" applyFont="1" applyFill="1" applyBorder="1" applyAlignment="1">
      <alignment horizontal="center"/>
    </xf>
    <xf numFmtId="3" fontId="19" fillId="2" borderId="2" xfId="0" applyNumberFormat="1" applyFont="1" applyFill="1" applyBorder="1" applyAlignment="1">
      <alignment horizontal="center" wrapText="1"/>
    </xf>
    <xf numFmtId="187" fontId="20" fillId="2" borderId="0" xfId="5" applyNumberFormat="1" applyFont="1" applyFill="1" applyBorder="1" applyAlignment="1">
      <alignment horizontal="right"/>
    </xf>
    <xf numFmtId="195" fontId="20" fillId="2" borderId="2" xfId="0" applyNumberFormat="1" applyFont="1" applyFill="1" applyBorder="1" applyAlignment="1">
      <alignment horizontal="center"/>
    </xf>
    <xf numFmtId="208" fontId="20" fillId="2" borderId="2" xfId="0" applyNumberFormat="1" applyFont="1" applyFill="1" applyBorder="1" applyAlignment="1">
      <alignment horizontal="center"/>
    </xf>
    <xf numFmtId="192" fontId="20" fillId="2" borderId="2" xfId="0" applyNumberFormat="1" applyFont="1" applyFill="1" applyBorder="1" applyAlignment="1">
      <alignment horizontal="center"/>
    </xf>
    <xf numFmtId="210" fontId="20" fillId="2" borderId="2" xfId="0" applyNumberFormat="1" applyFont="1" applyFill="1" applyBorder="1" applyAlignment="1">
      <alignment horizontal="center"/>
    </xf>
    <xf numFmtId="0" fontId="20" fillId="2" borderId="2" xfId="0" applyFont="1" applyFill="1" applyBorder="1" applyAlignment="1">
      <alignment horizontal="center" wrapText="1"/>
    </xf>
    <xf numFmtId="168" fontId="20" fillId="2" borderId="2" xfId="7" applyNumberFormat="1" applyFont="1" applyFill="1" applyBorder="1" applyAlignment="1">
      <alignment horizontal="center"/>
    </xf>
    <xf numFmtId="0" fontId="39" fillId="2" borderId="0" xfId="0" applyFont="1" applyFill="1" applyBorder="1" applyAlignment="1">
      <alignment horizontal="center" wrapText="1"/>
    </xf>
    <xf numFmtId="0" fontId="39" fillId="2" borderId="0" xfId="0" applyFont="1" applyFill="1" applyBorder="1" applyAlignment="1">
      <alignment horizontal="left" wrapText="1"/>
    </xf>
    <xf numFmtId="0" fontId="20" fillId="2" borderId="4" xfId="0" applyFont="1" applyFill="1" applyBorder="1" applyAlignment="1">
      <alignment horizontal="center"/>
    </xf>
    <xf numFmtId="195" fontId="20" fillId="2" borderId="5" xfId="0" applyNumberFormat="1" applyFont="1" applyFill="1" applyBorder="1" applyAlignment="1">
      <alignment horizontal="center"/>
    </xf>
    <xf numFmtId="10" fontId="20" fillId="2" borderId="0" xfId="0" applyNumberFormat="1" applyFont="1" applyFill="1" applyAlignment="1">
      <alignment horizontal="center" wrapText="1"/>
    </xf>
    <xf numFmtId="0" fontId="20" fillId="2" borderId="0" xfId="1" applyNumberFormat="1" applyFont="1" applyFill="1" applyBorder="1" applyAlignment="1">
      <alignment horizontal="center"/>
    </xf>
    <xf numFmtId="211" fontId="19" fillId="2" borderId="10" xfId="0" applyNumberFormat="1" applyFont="1" applyFill="1" applyBorder="1" applyAlignment="1">
      <alignment horizontal="center"/>
    </xf>
    <xf numFmtId="212" fontId="19" fillId="2" borderId="10" xfId="0" applyNumberFormat="1" applyFont="1" applyFill="1" applyBorder="1" applyAlignment="1">
      <alignment horizontal="center"/>
    </xf>
    <xf numFmtId="213" fontId="19" fillId="2" borderId="10" xfId="0" applyNumberFormat="1" applyFont="1" applyFill="1" applyBorder="1" applyAlignment="1">
      <alignment horizontal="center"/>
    </xf>
    <xf numFmtId="194" fontId="19" fillId="2" borderId="10" xfId="0" applyNumberFormat="1" applyFont="1" applyFill="1" applyBorder="1" applyAlignment="1">
      <alignment horizontal="center"/>
    </xf>
    <xf numFmtId="195" fontId="19" fillId="2" borderId="10" xfId="0" applyNumberFormat="1" applyFont="1" applyFill="1" applyBorder="1" applyAlignment="1">
      <alignment horizontal="center"/>
    </xf>
    <xf numFmtId="211" fontId="20" fillId="2" borderId="0" xfId="0" applyNumberFormat="1" applyFont="1" applyFill="1" applyBorder="1" applyAlignment="1">
      <alignment horizontal="center"/>
    </xf>
    <xf numFmtId="212" fontId="20" fillId="2" borderId="0" xfId="0" applyNumberFormat="1" applyFont="1" applyFill="1" applyBorder="1" applyAlignment="1">
      <alignment horizontal="center"/>
    </xf>
    <xf numFmtId="213" fontId="20" fillId="2" borderId="0" xfId="0" applyNumberFormat="1" applyFont="1" applyFill="1" applyBorder="1" applyAlignment="1">
      <alignment horizontal="center"/>
    </xf>
    <xf numFmtId="201" fontId="20" fillId="2" borderId="0" xfId="0" applyNumberFormat="1" applyFont="1" applyFill="1" applyBorder="1" applyAlignment="1">
      <alignment horizontal="center"/>
    </xf>
    <xf numFmtId="202" fontId="20" fillId="2" borderId="0" xfId="0" applyNumberFormat="1" applyFont="1" applyFill="1" applyBorder="1" applyAlignment="1">
      <alignment horizontal="center"/>
    </xf>
    <xf numFmtId="10" fontId="20" fillId="2" borderId="0" xfId="0" applyNumberFormat="1" applyFont="1" applyFill="1" applyBorder="1" applyAlignment="1">
      <alignment horizontal="center" wrapText="1"/>
    </xf>
    <xf numFmtId="204" fontId="20" fillId="2" borderId="0" xfId="0" applyNumberFormat="1" applyFont="1" applyFill="1" applyBorder="1" applyAlignment="1">
      <alignment horizontal="center"/>
    </xf>
    <xf numFmtId="195" fontId="23" fillId="2" borderId="0" xfId="0" applyNumberFormat="1" applyFont="1" applyFill="1" applyBorder="1" applyAlignment="1">
      <alignment horizontal="center"/>
    </xf>
    <xf numFmtId="194" fontId="23" fillId="2" borderId="0" xfId="0" applyNumberFormat="1" applyFont="1" applyFill="1" applyBorder="1" applyAlignment="1">
      <alignment horizontal="center"/>
    </xf>
    <xf numFmtId="213" fontId="23" fillId="2" borderId="0" xfId="0" applyNumberFormat="1" applyFont="1" applyFill="1" applyBorder="1" applyAlignment="1">
      <alignment horizontal="center"/>
    </xf>
    <xf numFmtId="204" fontId="20" fillId="2" borderId="2" xfId="0" applyNumberFormat="1" applyFont="1" applyFill="1" applyBorder="1" applyAlignment="1">
      <alignment horizontal="center"/>
    </xf>
    <xf numFmtId="203" fontId="20" fillId="2" borderId="0" xfId="0" applyNumberFormat="1" applyFont="1" applyFill="1" applyBorder="1" applyAlignment="1">
      <alignment horizontal="center"/>
    </xf>
    <xf numFmtId="191" fontId="20" fillId="2" borderId="2" xfId="0" applyNumberFormat="1" applyFont="1" applyFill="1" applyBorder="1" applyAlignment="1">
      <alignment horizontal="center"/>
    </xf>
    <xf numFmtId="10" fontId="20" fillId="2" borderId="4" xfId="0" applyNumberFormat="1" applyFont="1" applyFill="1" applyBorder="1" applyAlignment="1">
      <alignment horizontal="center" wrapText="1"/>
    </xf>
    <xf numFmtId="0" fontId="49" fillId="5" borderId="14" xfId="0" applyFont="1" applyFill="1" applyBorder="1" applyAlignment="1">
      <alignment horizontal="left"/>
    </xf>
    <xf numFmtId="188" fontId="49" fillId="5" borderId="14" xfId="0" applyNumberFormat="1" applyFont="1" applyFill="1" applyBorder="1" applyAlignment="1">
      <alignment horizontal="right"/>
    </xf>
    <xf numFmtId="186" fontId="49" fillId="5" borderId="14" xfId="0" applyNumberFormat="1" applyFont="1" applyFill="1" applyBorder="1"/>
    <xf numFmtId="0" fontId="27" fillId="5" borderId="1" xfId="0" applyFont="1" applyFill="1" applyBorder="1" applyAlignment="1">
      <alignment vertical="top"/>
    </xf>
    <xf numFmtId="189" fontId="55" fillId="5" borderId="0" xfId="0" applyNumberFormat="1" applyFont="1" applyFill="1" applyBorder="1" applyAlignment="1">
      <alignment horizontal="left"/>
    </xf>
    <xf numFmtId="10" fontId="55" fillId="5" borderId="0" xfId="0" applyNumberFormat="1" applyFont="1" applyFill="1" applyBorder="1" applyAlignment="1">
      <alignment vertical="top"/>
    </xf>
    <xf numFmtId="187" fontId="55" fillId="5" borderId="2" xfId="0" applyNumberFormat="1" applyFont="1" applyFill="1" applyBorder="1" applyAlignment="1">
      <alignment horizontal="right" vertical="top"/>
    </xf>
    <xf numFmtId="9" fontId="20" fillId="2" borderId="7" xfId="7" applyFont="1" applyFill="1" applyBorder="1" applyAlignment="1">
      <alignment horizontal="right"/>
    </xf>
    <xf numFmtId="187" fontId="20" fillId="2" borderId="12" xfId="0" applyNumberFormat="1" applyFont="1" applyFill="1" applyBorder="1" applyAlignment="1">
      <alignment horizontal="right"/>
    </xf>
    <xf numFmtId="189" fontId="20" fillId="2" borderId="12" xfId="0" applyNumberFormat="1" applyFont="1" applyFill="1" applyBorder="1" applyAlignment="1">
      <alignment horizontal="right"/>
    </xf>
    <xf numFmtId="189" fontId="20" fillId="2" borderId="0" xfId="1" applyNumberFormat="1" applyFont="1" applyFill="1" applyAlignment="1">
      <alignment horizontal="right"/>
    </xf>
    <xf numFmtId="189" fontId="20" fillId="2" borderId="0" xfId="1" applyNumberFormat="1" applyFont="1" applyFill="1" applyBorder="1" applyAlignment="1">
      <alignment horizontal="right"/>
    </xf>
    <xf numFmtId="43" fontId="20" fillId="2" borderId="0" xfId="0" applyNumberFormat="1" applyFont="1" applyFill="1" applyBorder="1" applyAlignment="1">
      <alignment horizontal="right" wrapText="1"/>
    </xf>
    <xf numFmtId="187" fontId="20" fillId="2" borderId="7" xfId="1" applyNumberFormat="1" applyFont="1" applyFill="1" applyBorder="1" applyAlignment="1">
      <alignment horizontal="right"/>
    </xf>
    <xf numFmtId="0" fontId="5" fillId="2" borderId="0" xfId="0" applyFont="1" applyFill="1" applyBorder="1" applyAlignment="1">
      <alignment horizontal="center"/>
    </xf>
    <xf numFmtId="181" fontId="5" fillId="2" borderId="0" xfId="0" applyNumberFormat="1" applyFont="1" applyFill="1" applyBorder="1" applyAlignment="1">
      <alignment horizontal="right"/>
    </xf>
    <xf numFmtId="10" fontId="20" fillId="2" borderId="38" xfId="7" applyNumberFormat="1" applyFont="1" applyFill="1" applyBorder="1" applyAlignment="1">
      <alignment horizontal="center"/>
    </xf>
    <xf numFmtId="194" fontId="20" fillId="2" borderId="2" xfId="0" applyNumberFormat="1" applyFont="1" applyFill="1" applyBorder="1"/>
    <xf numFmtId="189" fontId="20" fillId="2" borderId="0" xfId="1" applyNumberFormat="1" applyFont="1" applyFill="1" applyBorder="1"/>
    <xf numFmtId="0" fontId="25" fillId="2" borderId="0" xfId="0" applyFont="1" applyFill="1" applyBorder="1" applyAlignment="1">
      <alignment wrapText="1"/>
    </xf>
    <xf numFmtId="0" fontId="25" fillId="2" borderId="0" xfId="0" applyFont="1" applyFill="1" applyAlignment="1">
      <alignment horizontal="left" wrapText="1"/>
    </xf>
    <xf numFmtId="10" fontId="31" fillId="2" borderId="0" xfId="0" applyNumberFormat="1" applyFont="1" applyFill="1" applyAlignment="1">
      <alignment vertical="top"/>
    </xf>
    <xf numFmtId="10" fontId="31" fillId="2" borderId="0" xfId="0" applyNumberFormat="1" applyFont="1" applyFill="1"/>
    <xf numFmtId="0" fontId="0" fillId="2" borderId="43" xfId="0" applyFill="1" applyBorder="1"/>
    <xf numFmtId="0" fontId="0" fillId="2" borderId="32" xfId="0" applyFill="1" applyBorder="1"/>
    <xf numFmtId="0" fontId="0" fillId="2" borderId="35" xfId="0" applyFill="1" applyBorder="1"/>
    <xf numFmtId="0" fontId="5" fillId="6" borderId="44" xfId="0" applyFont="1" applyFill="1" applyBorder="1"/>
    <xf numFmtId="0" fontId="20" fillId="2" borderId="0" xfId="0" applyNumberFormat="1" applyFont="1" applyFill="1"/>
    <xf numFmtId="0" fontId="24" fillId="2" borderId="0" xfId="0" applyFont="1" applyFill="1" applyBorder="1" applyAlignment="1"/>
    <xf numFmtId="2" fontId="20" fillId="2" borderId="0" xfId="0" applyNumberFormat="1" applyFont="1" applyFill="1" applyBorder="1"/>
    <xf numFmtId="3" fontId="23" fillId="2" borderId="0" xfId="0" applyNumberFormat="1" applyFont="1" applyFill="1" applyBorder="1" applyAlignment="1">
      <alignment horizontal="left" wrapText="1"/>
    </xf>
    <xf numFmtId="0" fontId="5" fillId="2" borderId="0" xfId="0" applyFont="1" applyFill="1" applyAlignment="1">
      <alignment horizontal="right"/>
    </xf>
    <xf numFmtId="49" fontId="0" fillId="2" borderId="0" xfId="0" applyNumberFormat="1" applyFill="1" applyAlignment="1">
      <alignment horizontal="right"/>
    </xf>
    <xf numFmtId="0" fontId="0" fillId="2" borderId="0" xfId="0" applyNumberFormat="1" applyFill="1"/>
    <xf numFmtId="0" fontId="20" fillId="2" borderId="0" xfId="0" applyNumberFormat="1" applyFont="1" applyFill="1" applyBorder="1" applyAlignment="1">
      <alignment horizontal="right"/>
    </xf>
    <xf numFmtId="49" fontId="0" fillId="2" borderId="0" xfId="0" applyNumberFormat="1" applyFill="1" applyBorder="1" applyAlignment="1">
      <alignment horizontal="right"/>
    </xf>
    <xf numFmtId="0" fontId="23" fillId="2" borderId="0" xfId="0" applyNumberFormat="1" applyFont="1" applyFill="1"/>
    <xf numFmtId="181" fontId="0" fillId="2" borderId="26" xfId="0" applyNumberFormat="1" applyFill="1" applyBorder="1"/>
    <xf numFmtId="3" fontId="23" fillId="2" borderId="1" xfId="0" applyNumberFormat="1" applyFont="1" applyFill="1" applyBorder="1" applyAlignment="1">
      <alignment horizontal="left" wrapText="1"/>
    </xf>
    <xf numFmtId="0" fontId="31" fillId="2" borderId="2" xfId="0" applyFont="1" applyFill="1" applyBorder="1"/>
    <xf numFmtId="43" fontId="20" fillId="2" borderId="2" xfId="0" applyNumberFormat="1" applyFont="1" applyFill="1" applyBorder="1"/>
    <xf numFmtId="0" fontId="54" fillId="5" borderId="0" xfId="0" applyFont="1" applyFill="1" applyBorder="1" applyAlignment="1"/>
    <xf numFmtId="187" fontId="20" fillId="5" borderId="0" xfId="0" applyNumberFormat="1" applyFont="1" applyFill="1" applyBorder="1" applyAlignment="1">
      <alignment horizontal="right"/>
    </xf>
    <xf numFmtId="2" fontId="20" fillId="5" borderId="0" xfId="0" applyNumberFormat="1" applyFont="1" applyFill="1" applyBorder="1"/>
    <xf numFmtId="10" fontId="20" fillId="5" borderId="0" xfId="0" applyNumberFormat="1" applyFont="1" applyFill="1" applyBorder="1"/>
    <xf numFmtId="0" fontId="20" fillId="5" borderId="0" xfId="0" applyFont="1" applyFill="1" applyBorder="1"/>
    <xf numFmtId="0" fontId="55" fillId="5" borderId="0" xfId="0" applyFont="1" applyFill="1" applyBorder="1" applyAlignment="1"/>
    <xf numFmtId="189" fontId="4" fillId="2" borderId="8" xfId="1" applyNumberFormat="1" applyFont="1" applyFill="1" applyBorder="1" applyAlignment="1">
      <alignment horizontal="center"/>
    </xf>
    <xf numFmtId="7" fontId="4" fillId="2" borderId="8" xfId="0" applyNumberFormat="1" applyFont="1" applyFill="1" applyBorder="1" applyAlignment="1">
      <alignment horizontal="center"/>
    </xf>
    <xf numFmtId="0" fontId="20" fillId="5" borderId="1" xfId="0" applyFont="1" applyFill="1" applyBorder="1" applyAlignment="1">
      <alignment vertical="top"/>
    </xf>
    <xf numFmtId="3" fontId="23" fillId="5" borderId="0" xfId="0" applyNumberFormat="1" applyFont="1" applyFill="1" applyBorder="1" applyAlignment="1">
      <alignment horizontal="left" wrapText="1"/>
    </xf>
    <xf numFmtId="0" fontId="20" fillId="5" borderId="2" xfId="0" applyFont="1" applyFill="1" applyBorder="1" applyAlignment="1">
      <alignment horizontal="center"/>
    </xf>
    <xf numFmtId="3" fontId="53" fillId="5" borderId="9" xfId="0" applyNumberFormat="1" applyFont="1" applyFill="1" applyBorder="1" applyAlignment="1">
      <alignment wrapText="1"/>
    </xf>
    <xf numFmtId="187" fontId="20" fillId="5" borderId="10" xfId="0" applyNumberFormat="1" applyFont="1" applyFill="1" applyBorder="1" applyAlignment="1">
      <alignment horizontal="right"/>
    </xf>
    <xf numFmtId="10" fontId="20" fillId="5" borderId="10" xfId="0" applyNumberFormat="1" applyFont="1" applyFill="1" applyBorder="1" applyAlignment="1">
      <alignment horizontal="center" wrapText="1"/>
    </xf>
    <xf numFmtId="3" fontId="19" fillId="5" borderId="10" xfId="0" applyNumberFormat="1" applyFont="1" applyFill="1" applyBorder="1" applyAlignment="1">
      <alignment horizontal="center" wrapText="1"/>
    </xf>
    <xf numFmtId="195" fontId="19" fillId="5" borderId="10" xfId="0" applyNumberFormat="1" applyFont="1" applyFill="1" applyBorder="1" applyAlignment="1">
      <alignment horizontal="center"/>
    </xf>
    <xf numFmtId="0" fontId="20" fillId="5" borderId="10" xfId="0" applyFont="1" applyFill="1" applyBorder="1"/>
    <xf numFmtId="0" fontId="20" fillId="5" borderId="11" xfId="0" applyFont="1" applyFill="1" applyBorder="1"/>
    <xf numFmtId="0" fontId="20" fillId="5" borderId="1" xfId="5" applyFont="1" applyFill="1" applyBorder="1" applyAlignment="1"/>
    <xf numFmtId="10" fontId="20" fillId="5" borderId="0" xfId="0" applyNumberFormat="1" applyFont="1" applyFill="1" applyBorder="1" applyAlignment="1">
      <alignment horizontal="center"/>
    </xf>
    <xf numFmtId="195" fontId="20" fillId="5" borderId="0" xfId="0" applyNumberFormat="1" applyFont="1" applyFill="1" applyBorder="1" applyAlignment="1">
      <alignment horizontal="center"/>
    </xf>
    <xf numFmtId="0" fontId="20" fillId="5" borderId="2" xfId="0" applyFont="1" applyFill="1" applyBorder="1"/>
    <xf numFmtId="187" fontId="20" fillId="5" borderId="0" xfId="5" applyNumberFormat="1" applyFont="1" applyFill="1" applyBorder="1" applyAlignment="1">
      <alignment horizontal="right"/>
    </xf>
    <xf numFmtId="196" fontId="20" fillId="5" borderId="0" xfId="0" applyNumberFormat="1" applyFont="1" applyFill="1" applyBorder="1" applyAlignment="1">
      <alignment horizontal="center"/>
    </xf>
    <xf numFmtId="0" fontId="20" fillId="5" borderId="0" xfId="0" applyFont="1" applyFill="1" applyBorder="1" applyAlignment="1">
      <alignment horizontal="center"/>
    </xf>
    <xf numFmtId="203" fontId="20" fillId="5" borderId="0" xfId="0" applyNumberFormat="1" applyFont="1" applyFill="1" applyBorder="1" applyAlignment="1">
      <alignment horizontal="center"/>
    </xf>
    <xf numFmtId="187" fontId="20" fillId="5" borderId="0" xfId="0" applyNumberFormat="1" applyFont="1" applyFill="1" applyBorder="1" applyAlignment="1">
      <alignment horizontal="center"/>
    </xf>
    <xf numFmtId="189" fontId="20" fillId="5" borderId="0" xfId="0" applyNumberFormat="1" applyFont="1" applyFill="1" applyBorder="1" applyAlignment="1">
      <alignment horizontal="center"/>
    </xf>
    <xf numFmtId="0" fontId="20" fillId="5" borderId="1" xfId="5" applyFont="1" applyFill="1" applyBorder="1" applyAlignment="1">
      <alignment horizontal="left"/>
    </xf>
    <xf numFmtId="0" fontId="20" fillId="5" borderId="0" xfId="5" applyFont="1" applyFill="1" applyBorder="1" applyAlignment="1">
      <alignment horizontal="left"/>
    </xf>
    <xf numFmtId="168" fontId="20" fillId="5" borderId="0" xfId="7" applyNumberFormat="1" applyFont="1" applyFill="1" applyBorder="1" applyAlignment="1">
      <alignment horizontal="center"/>
    </xf>
    <xf numFmtId="10" fontId="20" fillId="5" borderId="0" xfId="7" applyNumberFormat="1" applyFont="1" applyFill="1" applyBorder="1" applyAlignment="1">
      <alignment horizontal="center"/>
    </xf>
    <xf numFmtId="195" fontId="20" fillId="5" borderId="0" xfId="1" applyNumberFormat="1" applyFont="1" applyFill="1" applyBorder="1" applyAlignment="1">
      <alignment horizontal="center"/>
    </xf>
    <xf numFmtId="0" fontId="20" fillId="5" borderId="1" xfId="0" applyFont="1" applyFill="1" applyBorder="1" applyAlignment="1"/>
    <xf numFmtId="14" fontId="20" fillId="5" borderId="0" xfId="0" applyNumberFormat="1" applyFont="1" applyFill="1" applyBorder="1" applyAlignment="1">
      <alignment horizontal="center"/>
    </xf>
    <xf numFmtId="0" fontId="20" fillId="5" borderId="3" xfId="5" applyFont="1" applyFill="1" applyBorder="1" applyAlignment="1"/>
    <xf numFmtId="187" fontId="20" fillId="5" borderId="4" xfId="0" applyNumberFormat="1" applyFont="1" applyFill="1" applyBorder="1" applyAlignment="1">
      <alignment horizontal="right"/>
    </xf>
    <xf numFmtId="10" fontId="20" fillId="5" borderId="4" xfId="0" applyNumberFormat="1" applyFont="1" applyFill="1" applyBorder="1"/>
    <xf numFmtId="14" fontId="20" fillId="5" borderId="4" xfId="0" applyNumberFormat="1" applyFont="1" applyFill="1" applyBorder="1" applyAlignment="1">
      <alignment horizontal="center"/>
    </xf>
    <xf numFmtId="0" fontId="20" fillId="5" borderId="4" xfId="0" applyFont="1" applyFill="1" applyBorder="1"/>
    <xf numFmtId="0" fontId="20" fillId="5" borderId="5" xfId="0" applyFont="1" applyFill="1" applyBorder="1"/>
    <xf numFmtId="3" fontId="19" fillId="2" borderId="0" xfId="0" applyNumberFormat="1" applyFont="1" applyFill="1" applyBorder="1" applyAlignment="1"/>
    <xf numFmtId="189" fontId="20" fillId="2" borderId="0" xfId="1" applyNumberFormat="1" applyFont="1" applyFill="1"/>
    <xf numFmtId="181" fontId="20" fillId="12" borderId="0" xfId="1" applyNumberFormat="1" applyFont="1" applyFill="1" applyBorder="1"/>
    <xf numFmtId="199" fontId="20" fillId="12" borderId="0" xfId="0" applyNumberFormat="1" applyFont="1" applyFill="1" applyBorder="1"/>
    <xf numFmtId="43" fontId="20" fillId="12" borderId="0" xfId="0" applyNumberFormat="1" applyFont="1" applyFill="1" applyBorder="1"/>
    <xf numFmtId="181" fontId="20" fillId="12" borderId="0" xfId="0" applyNumberFormat="1" applyFont="1" applyFill="1" applyBorder="1"/>
    <xf numFmtId="168" fontId="20" fillId="12" borderId="0" xfId="0" applyNumberFormat="1" applyFont="1" applyFill="1" applyBorder="1"/>
    <xf numFmtId="43" fontId="20" fillId="12" borderId="0" xfId="1" applyFont="1" applyFill="1" applyBorder="1"/>
    <xf numFmtId="171" fontId="20" fillId="12" borderId="0" xfId="0" applyNumberFormat="1" applyFont="1" applyFill="1" applyBorder="1"/>
    <xf numFmtId="10" fontId="20" fillId="12" borderId="0" xfId="7" applyNumberFormat="1" applyFont="1" applyFill="1" applyBorder="1" applyAlignment="1">
      <alignment horizontal="right"/>
    </xf>
    <xf numFmtId="187" fontId="20" fillId="12" borderId="0" xfId="0" applyNumberFormat="1" applyFont="1" applyFill="1" applyBorder="1"/>
    <xf numFmtId="187" fontId="20" fillId="12" borderId="7" xfId="0" applyNumberFormat="1" applyFont="1" applyFill="1" applyBorder="1" applyAlignment="1">
      <alignment horizontal="right"/>
    </xf>
    <xf numFmtId="0" fontId="20" fillId="12" borderId="0" xfId="0" applyFont="1" applyFill="1" applyBorder="1"/>
    <xf numFmtId="187" fontId="19" fillId="12" borderId="0" xfId="0" applyNumberFormat="1" applyFont="1" applyFill="1" applyBorder="1" applyAlignment="1">
      <alignment horizontal="right" wrapText="1" indent="3"/>
    </xf>
    <xf numFmtId="43" fontId="20" fillId="12" borderId="0" xfId="0" applyNumberFormat="1" applyFont="1" applyFill="1" applyAlignment="1">
      <alignment horizontal="right"/>
    </xf>
    <xf numFmtId="43" fontId="20" fillId="12" borderId="0" xfId="0" applyNumberFormat="1" applyFont="1" applyFill="1" applyAlignment="1">
      <alignment horizontal="right" wrapText="1"/>
    </xf>
    <xf numFmtId="0" fontId="20" fillId="2" borderId="10" xfId="0" applyFont="1" applyFill="1" applyBorder="1" applyAlignment="1">
      <alignment vertical="top" wrapText="1"/>
    </xf>
    <xf numFmtId="3" fontId="19" fillId="2" borderId="11" xfId="0" applyNumberFormat="1" applyFont="1" applyFill="1" applyBorder="1" applyAlignment="1">
      <alignment horizontal="center" wrapText="1"/>
    </xf>
    <xf numFmtId="187" fontId="55" fillId="2" borderId="2" xfId="0" applyNumberFormat="1" applyFont="1" applyFill="1" applyBorder="1" applyAlignment="1">
      <alignment horizontal="center"/>
    </xf>
    <xf numFmtId="0" fontId="40" fillId="2" borderId="0" xfId="0" applyFont="1" applyFill="1" applyBorder="1" applyAlignment="1">
      <alignment horizontal="center"/>
    </xf>
    <xf numFmtId="0" fontId="40" fillId="2" borderId="2" xfId="0" applyFont="1" applyFill="1" applyBorder="1" applyAlignment="1">
      <alignment horizontal="center"/>
    </xf>
    <xf numFmtId="186" fontId="49" fillId="0" borderId="0" xfId="0" applyNumberFormat="1" applyFont="1" applyFill="1" applyBorder="1" applyAlignment="1">
      <alignment horizontal="left"/>
    </xf>
    <xf numFmtId="186" fontId="49" fillId="2" borderId="0" xfId="0" applyNumberFormat="1" applyFont="1" applyFill="1" applyBorder="1" applyAlignment="1">
      <alignment horizontal="left"/>
    </xf>
    <xf numFmtId="187" fontId="55" fillId="2" borderId="10" xfId="0" applyNumberFormat="1" applyFont="1" applyFill="1" applyBorder="1" applyAlignment="1">
      <alignment horizontal="center"/>
    </xf>
    <xf numFmtId="10" fontId="31" fillId="2" borderId="0" xfId="0" applyNumberFormat="1" applyFont="1" applyFill="1" applyBorder="1"/>
    <xf numFmtId="0" fontId="20" fillId="2" borderId="9" xfId="0" applyFont="1" applyFill="1" applyBorder="1"/>
    <xf numFmtId="0" fontId="20" fillId="2" borderId="9" xfId="0" applyFont="1" applyFill="1" applyBorder="1" applyAlignment="1"/>
    <xf numFmtId="187" fontId="20" fillId="2" borderId="9" xfId="0" applyNumberFormat="1" applyFont="1" applyFill="1" applyBorder="1" applyAlignment="1">
      <alignment horizontal="right"/>
    </xf>
    <xf numFmtId="0" fontId="20" fillId="2" borderId="38" xfId="0" applyFont="1" applyFill="1" applyBorder="1"/>
    <xf numFmtId="0" fontId="23" fillId="2" borderId="10" xfId="0" applyFont="1" applyFill="1" applyBorder="1" applyAlignment="1">
      <alignment horizontal="center"/>
    </xf>
    <xf numFmtId="3" fontId="19" fillId="2" borderId="38" xfId="0" applyNumberFormat="1" applyFont="1" applyFill="1" applyBorder="1" applyAlignment="1"/>
    <xf numFmtId="3" fontId="19" fillId="2" borderId="9" xfId="0" applyNumberFormat="1" applyFont="1" applyFill="1" applyBorder="1" applyAlignment="1"/>
    <xf numFmtId="3" fontId="19" fillId="2" borderId="28" xfId="0" applyNumberFormat="1" applyFont="1" applyFill="1" applyBorder="1" applyAlignment="1"/>
    <xf numFmtId="3" fontId="20" fillId="2" borderId="38" xfId="0" applyNumberFormat="1" applyFont="1" applyFill="1" applyBorder="1" applyAlignment="1"/>
    <xf numFmtId="187" fontId="20" fillId="2" borderId="1" xfId="0" applyNumberFormat="1" applyFont="1" applyFill="1" applyBorder="1" applyAlignment="1">
      <alignment horizontal="left" vertical="top"/>
    </xf>
    <xf numFmtId="10" fontId="20" fillId="2" borderId="0" xfId="0" applyNumberFormat="1" applyFont="1" applyFill="1" applyBorder="1" applyAlignment="1">
      <alignment horizontal="center" vertical="top" wrapText="1"/>
    </xf>
    <xf numFmtId="187" fontId="20" fillId="2" borderId="0" xfId="0" applyNumberFormat="1" applyFont="1" applyFill="1" applyBorder="1" applyAlignment="1">
      <alignment horizontal="center" vertical="top"/>
    </xf>
    <xf numFmtId="10" fontId="20" fillId="2" borderId="0" xfId="0" applyNumberFormat="1" applyFont="1" applyFill="1" applyBorder="1" applyAlignment="1">
      <alignment horizontal="center" vertical="top"/>
    </xf>
    <xf numFmtId="0" fontId="20" fillId="2" borderId="38" xfId="0" applyFont="1" applyFill="1" applyBorder="1" applyAlignment="1">
      <alignment vertical="top"/>
    </xf>
    <xf numFmtId="187" fontId="20" fillId="2" borderId="3" xfId="0" applyNumberFormat="1" applyFont="1" applyFill="1" applyBorder="1" applyAlignment="1">
      <alignment horizontal="left" vertical="top"/>
    </xf>
    <xf numFmtId="10" fontId="20" fillId="2" borderId="4" xfId="0" applyNumberFormat="1" applyFont="1" applyFill="1" applyBorder="1" applyAlignment="1">
      <alignment horizontal="center" vertical="top" wrapText="1"/>
    </xf>
    <xf numFmtId="187" fontId="20" fillId="2" borderId="4" xfId="0" applyNumberFormat="1" applyFont="1" applyFill="1" applyBorder="1" applyAlignment="1">
      <alignment horizontal="center" vertical="top"/>
    </xf>
    <xf numFmtId="10" fontId="20" fillId="2" borderId="4" xfId="0" applyNumberFormat="1" applyFont="1" applyFill="1" applyBorder="1" applyAlignment="1">
      <alignment horizontal="center" vertical="top"/>
    </xf>
    <xf numFmtId="187" fontId="20" fillId="2" borderId="9" xfId="0" applyNumberFormat="1" applyFont="1" applyFill="1" applyBorder="1" applyAlignment="1">
      <alignment horizontal="left" vertical="top"/>
    </xf>
    <xf numFmtId="10" fontId="20" fillId="2" borderId="10" xfId="0" applyNumberFormat="1" applyFont="1" applyFill="1" applyBorder="1" applyAlignment="1">
      <alignment horizontal="center" vertical="top" wrapText="1"/>
    </xf>
    <xf numFmtId="187" fontId="20" fillId="2" borderId="10" xfId="0" applyNumberFormat="1" applyFont="1" applyFill="1" applyBorder="1" applyAlignment="1">
      <alignment horizontal="center" vertical="top"/>
    </xf>
    <xf numFmtId="10" fontId="20" fillId="2" borderId="11" xfId="0" applyNumberFormat="1" applyFont="1" applyFill="1" applyBorder="1" applyAlignment="1">
      <alignment horizontal="center" vertical="top"/>
    </xf>
    <xf numFmtId="10" fontId="20" fillId="2" borderId="2" xfId="0" applyNumberFormat="1" applyFont="1" applyFill="1" applyBorder="1" applyAlignment="1">
      <alignment horizontal="center" vertical="top" wrapText="1"/>
    </xf>
    <xf numFmtId="10" fontId="20" fillId="2" borderId="2" xfId="0" applyNumberFormat="1" applyFont="1" applyFill="1" applyBorder="1" applyAlignment="1">
      <alignment horizontal="center" vertical="top"/>
    </xf>
    <xf numFmtId="10" fontId="20" fillId="2" borderId="5" xfId="0" applyNumberFormat="1" applyFont="1" applyFill="1" applyBorder="1" applyAlignment="1">
      <alignment horizontal="center" vertical="top"/>
    </xf>
    <xf numFmtId="3" fontId="20" fillId="2" borderId="3" xfId="0" applyNumberFormat="1" applyFont="1" applyFill="1" applyBorder="1" applyAlignment="1">
      <alignment vertical="top"/>
    </xf>
    <xf numFmtId="10" fontId="20" fillId="2" borderId="4" xfId="0" applyNumberFormat="1" applyFont="1" applyFill="1" applyBorder="1" applyAlignment="1">
      <alignment vertical="top"/>
    </xf>
    <xf numFmtId="3" fontId="20" fillId="2" borderId="9" xfId="0" applyNumberFormat="1" applyFont="1" applyFill="1" applyBorder="1" applyAlignment="1">
      <alignment vertical="top"/>
    </xf>
    <xf numFmtId="10" fontId="20" fillId="2" borderId="10" xfId="0" applyNumberFormat="1" applyFont="1" applyFill="1" applyBorder="1" applyAlignment="1">
      <alignment vertical="top"/>
    </xf>
    <xf numFmtId="187" fontId="20" fillId="2" borderId="9" xfId="0" applyNumberFormat="1" applyFont="1" applyFill="1" applyBorder="1" applyAlignment="1">
      <alignment horizontal="left" vertical="top" wrapText="1"/>
    </xf>
    <xf numFmtId="3" fontId="20" fillId="2" borderId="15" xfId="0" applyNumberFormat="1" applyFont="1" applyFill="1" applyBorder="1" applyAlignment="1"/>
    <xf numFmtId="0" fontId="20" fillId="2" borderId="28" xfId="0" applyFont="1" applyFill="1" applyBorder="1" applyAlignment="1">
      <alignment horizontal="center"/>
    </xf>
    <xf numFmtId="0" fontId="20" fillId="2" borderId="38" xfId="0" applyFont="1" applyFill="1" applyBorder="1" applyAlignment="1">
      <alignment horizontal="center" vertical="top"/>
    </xf>
    <xf numFmtId="0" fontId="20" fillId="2" borderId="15" xfId="0" applyFont="1" applyFill="1" applyBorder="1" applyAlignment="1">
      <alignment horizontal="center" vertical="top"/>
    </xf>
    <xf numFmtId="0" fontId="20" fillId="2" borderId="5" xfId="0" applyFont="1" applyFill="1" applyBorder="1" applyAlignment="1">
      <alignment horizontal="center" vertical="top"/>
    </xf>
    <xf numFmtId="0" fontId="20" fillId="2" borderId="11" xfId="0" applyFont="1" applyFill="1" applyBorder="1" applyAlignment="1">
      <alignment horizontal="center" vertical="top"/>
    </xf>
    <xf numFmtId="0" fontId="20" fillId="2" borderId="28" xfId="0" applyFont="1" applyFill="1" applyBorder="1" applyAlignment="1">
      <alignment horizontal="center" vertical="top"/>
    </xf>
    <xf numFmtId="0" fontId="20" fillId="2" borderId="15" xfId="0" applyFont="1" applyFill="1" applyBorder="1" applyAlignment="1">
      <alignment horizontal="center"/>
    </xf>
    <xf numFmtId="0" fontId="23" fillId="0" borderId="14" xfId="0" applyFont="1" applyBorder="1" applyAlignment="1">
      <alignment horizontal="left" vertical="top" wrapText="1"/>
    </xf>
    <xf numFmtId="0" fontId="20" fillId="2" borderId="38" xfId="0" applyFont="1" applyFill="1" applyBorder="1" applyAlignment="1">
      <alignment horizontal="left" vertical="top" wrapText="1"/>
    </xf>
    <xf numFmtId="0" fontId="20" fillId="2" borderId="15" xfId="0" applyFont="1" applyFill="1" applyBorder="1" applyAlignment="1">
      <alignment horizontal="left" vertical="top" wrapText="1"/>
    </xf>
    <xf numFmtId="0" fontId="23" fillId="0" borderId="14" xfId="0" applyFont="1" applyBorder="1" applyAlignment="1">
      <alignment horizontal="center" vertical="top" wrapText="1"/>
    </xf>
    <xf numFmtId="0" fontId="20" fillId="2" borderId="14" xfId="0" applyFont="1" applyFill="1" applyBorder="1" applyAlignment="1">
      <alignment horizontal="center" vertical="top"/>
    </xf>
    <xf numFmtId="218" fontId="55" fillId="2" borderId="0" xfId="0" applyNumberFormat="1" applyFont="1" applyFill="1" applyBorder="1" applyAlignment="1">
      <alignment horizontal="center"/>
    </xf>
    <xf numFmtId="218" fontId="55" fillId="4" borderId="0" xfId="0" applyNumberFormat="1" applyFont="1" applyFill="1" applyBorder="1" applyAlignment="1">
      <alignment horizontal="center"/>
    </xf>
    <xf numFmtId="181" fontId="55" fillId="2" borderId="0" xfId="0" applyNumberFormat="1" applyFont="1" applyFill="1" applyBorder="1" applyAlignment="1">
      <alignment horizontal="center"/>
    </xf>
    <xf numFmtId="181" fontId="55" fillId="2" borderId="2" xfId="0" applyNumberFormat="1" applyFont="1" applyFill="1" applyBorder="1" applyAlignment="1">
      <alignment horizontal="center"/>
    </xf>
    <xf numFmtId="181" fontId="55" fillId="4" borderId="0" xfId="0" applyNumberFormat="1" applyFont="1" applyFill="1" applyBorder="1" applyAlignment="1">
      <alignment horizontal="center"/>
    </xf>
    <xf numFmtId="181" fontId="55" fillId="14" borderId="0" xfId="0" applyNumberFormat="1" applyFont="1" applyFill="1" applyBorder="1" applyAlignment="1">
      <alignment horizontal="center"/>
    </xf>
    <xf numFmtId="185" fontId="55" fillId="2" borderId="0" xfId="0" applyNumberFormat="1" applyFont="1" applyFill="1" applyBorder="1" applyAlignment="1">
      <alignment horizontal="center"/>
    </xf>
    <xf numFmtId="0" fontId="20" fillId="2" borderId="1" xfId="0" applyFont="1" applyFill="1" applyBorder="1" applyAlignment="1">
      <alignment horizontal="left"/>
    </xf>
    <xf numFmtId="0" fontId="20" fillId="2" borderId="10" xfId="0" applyFont="1" applyFill="1" applyBorder="1" applyAlignment="1">
      <alignment vertical="top"/>
    </xf>
    <xf numFmtId="0" fontId="20" fillId="2" borderId="11" xfId="0" applyFont="1" applyFill="1" applyBorder="1" applyAlignment="1">
      <alignment vertical="top"/>
    </xf>
    <xf numFmtId="0" fontId="20" fillId="2" borderId="11" xfId="0" applyFont="1" applyFill="1" applyBorder="1" applyAlignment="1">
      <alignment vertical="top" wrapText="1"/>
    </xf>
    <xf numFmtId="165" fontId="20" fillId="2" borderId="0" xfId="0" applyNumberFormat="1" applyFont="1" applyFill="1" applyBorder="1"/>
    <xf numFmtId="0" fontId="20" fillId="2" borderId="9" xfId="0" applyFont="1" applyFill="1" applyBorder="1" applyAlignment="1">
      <alignment horizontal="left"/>
    </xf>
    <xf numFmtId="165" fontId="20" fillId="2" borderId="10" xfId="0" applyNumberFormat="1" applyFont="1" applyFill="1" applyBorder="1" applyAlignment="1">
      <alignment horizontal="left"/>
    </xf>
    <xf numFmtId="165" fontId="20" fillId="2" borderId="11" xfId="0" applyNumberFormat="1" applyFont="1" applyFill="1" applyBorder="1"/>
    <xf numFmtId="10" fontId="20" fillId="2" borderId="2" xfId="7" applyNumberFormat="1" applyFont="1" applyFill="1" applyBorder="1"/>
    <xf numFmtId="165" fontId="20" fillId="2" borderId="2" xfId="0" applyNumberFormat="1" applyFont="1" applyFill="1" applyBorder="1"/>
    <xf numFmtId="0" fontId="20" fillId="2" borderId="3" xfId="0" applyFont="1" applyFill="1" applyBorder="1" applyAlignment="1">
      <alignment horizontal="left"/>
    </xf>
    <xf numFmtId="0" fontId="23" fillId="2" borderId="14" xfId="0" applyFont="1" applyFill="1" applyBorder="1" applyAlignment="1">
      <alignment horizontal="left" vertical="top" wrapText="1"/>
    </xf>
    <xf numFmtId="0" fontId="23" fillId="2" borderId="6" xfId="0" applyFont="1" applyFill="1" applyBorder="1" applyAlignment="1">
      <alignment horizontal="right" vertical="top" wrapText="1"/>
    </xf>
    <xf numFmtId="0" fontId="23" fillId="2" borderId="16" xfId="0" applyFont="1" applyFill="1" applyBorder="1" applyAlignment="1">
      <alignment horizontal="right" vertical="top" wrapText="1"/>
    </xf>
    <xf numFmtId="3" fontId="20" fillId="2" borderId="1" xfId="0" applyNumberFormat="1" applyFont="1" applyFill="1" applyBorder="1" applyAlignment="1">
      <alignment vertical="top"/>
    </xf>
    <xf numFmtId="3" fontId="21" fillId="2" borderId="1" xfId="0" applyNumberFormat="1" applyFont="1" applyFill="1" applyBorder="1" applyAlignment="1">
      <alignment vertical="top"/>
    </xf>
    <xf numFmtId="3" fontId="21" fillId="2" borderId="3" xfId="0" applyNumberFormat="1" applyFont="1" applyFill="1" applyBorder="1" applyAlignment="1">
      <alignment vertical="top"/>
    </xf>
    <xf numFmtId="187" fontId="20" fillId="2" borderId="3" xfId="0" applyNumberFormat="1" applyFont="1" applyFill="1" applyBorder="1" applyAlignment="1">
      <alignment horizontal="right" vertical="top"/>
    </xf>
    <xf numFmtId="187" fontId="20" fillId="2" borderId="4" xfId="0" applyNumberFormat="1" applyFont="1" applyFill="1" applyBorder="1" applyAlignment="1">
      <alignment horizontal="right" vertical="top"/>
    </xf>
    <xf numFmtId="0" fontId="20" fillId="2" borderId="3" xfId="0" applyFont="1" applyFill="1" applyBorder="1" applyAlignment="1">
      <alignment vertical="top"/>
    </xf>
    <xf numFmtId="0" fontId="20" fillId="2" borderId="4" xfId="0" applyFont="1" applyFill="1" applyBorder="1" applyAlignment="1">
      <alignment vertical="top"/>
    </xf>
    <xf numFmtId="44" fontId="20" fillId="2" borderId="0" xfId="0" applyNumberFormat="1" applyFont="1" applyFill="1" applyBorder="1"/>
    <xf numFmtId="0" fontId="23" fillId="2" borderId="17" xfId="0" applyFont="1" applyFill="1" applyBorder="1" applyAlignment="1">
      <alignment horizontal="left" vertical="top" wrapText="1"/>
    </xf>
    <xf numFmtId="3" fontId="23" fillId="2" borderId="1" xfId="0" applyNumberFormat="1" applyFont="1" applyFill="1" applyBorder="1" applyAlignment="1">
      <alignment vertical="top"/>
    </xf>
    <xf numFmtId="3" fontId="23" fillId="2" borderId="9" xfId="0" applyNumberFormat="1" applyFont="1" applyFill="1" applyBorder="1" applyAlignment="1">
      <alignment vertical="top"/>
    </xf>
    <xf numFmtId="0" fontId="29" fillId="2" borderId="0" xfId="0" applyFont="1" applyFill="1" applyBorder="1" applyAlignment="1"/>
    <xf numFmtId="0" fontId="53" fillId="2" borderId="0" xfId="0" applyFont="1" applyFill="1" applyBorder="1" applyAlignment="1">
      <alignment horizontal="left"/>
    </xf>
    <xf numFmtId="0" fontId="23" fillId="2" borderId="14" xfId="0" applyFont="1" applyFill="1" applyBorder="1" applyAlignment="1">
      <alignment horizontal="justify" vertical="top" wrapText="1"/>
    </xf>
    <xf numFmtId="0" fontId="20" fillId="0" borderId="3" xfId="0" applyFont="1" applyBorder="1" applyAlignment="1">
      <alignment vertical="top"/>
    </xf>
    <xf numFmtId="0" fontId="20" fillId="0" borderId="9" xfId="0" applyFont="1" applyBorder="1" applyAlignment="1">
      <alignment vertical="top"/>
    </xf>
    <xf numFmtId="3" fontId="20" fillId="2" borderId="0" xfId="0" applyNumberFormat="1" applyFont="1" applyFill="1" applyAlignment="1">
      <alignment horizontal="left"/>
    </xf>
    <xf numFmtId="1" fontId="20" fillId="2" borderId="0" xfId="0" applyNumberFormat="1" applyFont="1" applyFill="1" applyBorder="1" applyAlignment="1">
      <alignment horizontal="center"/>
    </xf>
    <xf numFmtId="2" fontId="20" fillId="2" borderId="0" xfId="0" applyNumberFormat="1" applyFont="1" applyFill="1" applyBorder="1" applyAlignment="1">
      <alignment horizontal="center"/>
    </xf>
    <xf numFmtId="0" fontId="24" fillId="2" borderId="0" xfId="0" applyFont="1" applyFill="1" applyBorder="1"/>
    <xf numFmtId="170" fontId="20" fillId="2" borderId="0" xfId="0" applyNumberFormat="1" applyFont="1" applyFill="1" applyBorder="1"/>
    <xf numFmtId="49" fontId="20" fillId="2" borderId="29" xfId="0" applyNumberFormat="1" applyFont="1" applyFill="1" applyBorder="1" applyAlignment="1">
      <alignment horizontal="center"/>
    </xf>
    <xf numFmtId="181" fontId="20" fillId="2" borderId="29" xfId="0" applyNumberFormat="1" applyFont="1" applyFill="1" applyBorder="1" applyAlignment="1">
      <alignment horizontal="right"/>
    </xf>
    <xf numFmtId="181" fontId="20" fillId="2" borderId="24" xfId="0" applyNumberFormat="1" applyFont="1" applyFill="1" applyBorder="1" applyAlignment="1">
      <alignment horizontal="right"/>
    </xf>
    <xf numFmtId="0" fontId="20" fillId="2" borderId="13" xfId="0" applyFont="1" applyFill="1" applyBorder="1"/>
    <xf numFmtId="49" fontId="20" fillId="2" borderId="13" xfId="0" applyNumberFormat="1" applyFont="1" applyFill="1" applyBorder="1" applyAlignment="1">
      <alignment horizontal="center"/>
    </xf>
    <xf numFmtId="181" fontId="20" fillId="2" borderId="13" xfId="0" applyNumberFormat="1" applyFont="1" applyFill="1" applyBorder="1" applyAlignment="1">
      <alignment horizontal="right"/>
    </xf>
    <xf numFmtId="181" fontId="20" fillId="2" borderId="26" xfId="0" applyNumberFormat="1" applyFont="1" applyFill="1" applyBorder="1" applyAlignment="1">
      <alignment horizontal="right"/>
    </xf>
    <xf numFmtId="49" fontId="20" fillId="2" borderId="33" xfId="0" applyNumberFormat="1" applyFont="1" applyFill="1" applyBorder="1" applyAlignment="1">
      <alignment horizontal="center"/>
    </xf>
    <xf numFmtId="181" fontId="20" fillId="2" borderId="33" xfId="0" applyNumberFormat="1" applyFont="1" applyFill="1" applyBorder="1" applyAlignment="1">
      <alignment horizontal="right"/>
    </xf>
    <xf numFmtId="181" fontId="20" fillId="2" borderId="25" xfId="0" applyNumberFormat="1" applyFont="1" applyFill="1" applyBorder="1" applyAlignment="1">
      <alignment horizontal="right"/>
    </xf>
    <xf numFmtId="0" fontId="27" fillId="2" borderId="0" xfId="0" applyFont="1" applyFill="1" applyBorder="1" applyAlignment="1"/>
    <xf numFmtId="49" fontId="20" fillId="2" borderId="10" xfId="0" applyNumberFormat="1" applyFont="1" applyFill="1" applyBorder="1" applyAlignment="1">
      <alignment horizontal="center"/>
    </xf>
    <xf numFmtId="181" fontId="20" fillId="2" borderId="10" xfId="0" applyNumberFormat="1" applyFont="1" applyFill="1" applyBorder="1" applyAlignment="1">
      <alignment horizontal="right"/>
    </xf>
    <xf numFmtId="0" fontId="20" fillId="2" borderId="39" xfId="0" applyFont="1" applyFill="1" applyBorder="1"/>
    <xf numFmtId="181" fontId="20" fillId="2" borderId="29" xfId="0" applyNumberFormat="1" applyFont="1" applyFill="1" applyBorder="1"/>
    <xf numFmtId="181" fontId="20" fillId="2" borderId="24" xfId="0" applyNumberFormat="1" applyFont="1" applyFill="1" applyBorder="1"/>
    <xf numFmtId="0" fontId="20" fillId="2" borderId="40" xfId="0" applyFont="1" applyFill="1" applyBorder="1"/>
    <xf numFmtId="181" fontId="20" fillId="2" borderId="33" xfId="0" applyNumberFormat="1" applyFont="1" applyFill="1" applyBorder="1"/>
    <xf numFmtId="181" fontId="20" fillId="2" borderId="25" xfId="0" applyNumberFormat="1" applyFont="1" applyFill="1" applyBorder="1"/>
    <xf numFmtId="0" fontId="20" fillId="2" borderId="1" xfId="0" applyFont="1" applyFill="1" applyBorder="1"/>
    <xf numFmtId="49" fontId="20" fillId="2" borderId="0" xfId="0" applyNumberFormat="1" applyFont="1" applyFill="1" applyBorder="1" applyAlignment="1">
      <alignment horizontal="center"/>
    </xf>
    <xf numFmtId="181" fontId="20" fillId="2" borderId="0" xfId="0" applyNumberFormat="1" applyFont="1" applyFill="1" applyBorder="1" applyAlignment="1">
      <alignment horizontal="right"/>
    </xf>
    <xf numFmtId="0" fontId="23" fillId="5" borderId="41" xfId="0" applyFont="1" applyFill="1" applyBorder="1"/>
    <xf numFmtId="1" fontId="20" fillId="2" borderId="8" xfId="0" applyNumberFormat="1" applyFont="1" applyFill="1" applyBorder="1" applyAlignment="1">
      <alignment horizontal="center"/>
    </xf>
    <xf numFmtId="49" fontId="20" fillId="2" borderId="24" xfId="0" applyNumberFormat="1" applyFont="1" applyFill="1" applyBorder="1" applyAlignment="1">
      <alignment horizontal="center"/>
    </xf>
    <xf numFmtId="181" fontId="20" fillId="2" borderId="30" xfId="0" applyNumberFormat="1" applyFont="1" applyFill="1" applyBorder="1" applyAlignment="1">
      <alignment horizontal="right"/>
    </xf>
    <xf numFmtId="181" fontId="20" fillId="2" borderId="31" xfId="0" applyNumberFormat="1" applyFont="1" applyFill="1" applyBorder="1"/>
    <xf numFmtId="49" fontId="20" fillId="2" borderId="26" xfId="0" applyNumberFormat="1" applyFont="1" applyFill="1" applyBorder="1" applyAlignment="1">
      <alignment horizontal="center"/>
    </xf>
    <xf numFmtId="181" fontId="20" fillId="2" borderId="36" xfId="0" applyNumberFormat="1" applyFont="1" applyFill="1" applyBorder="1"/>
    <xf numFmtId="49" fontId="20" fillId="2" borderId="25" xfId="0" applyNumberFormat="1" applyFont="1" applyFill="1" applyBorder="1" applyAlignment="1">
      <alignment horizontal="center"/>
    </xf>
    <xf numFmtId="181" fontId="20" fillId="2" borderId="34" xfId="0" applyNumberFormat="1" applyFont="1" applyFill="1" applyBorder="1" applyAlignment="1">
      <alignment horizontal="right"/>
    </xf>
    <xf numFmtId="181" fontId="20" fillId="2" borderId="37" xfId="0" applyNumberFormat="1" applyFont="1" applyFill="1" applyBorder="1"/>
    <xf numFmtId="0" fontId="23" fillId="2" borderId="0" xfId="0" applyFont="1" applyFill="1" applyBorder="1" applyAlignment="1">
      <alignment horizontal="center"/>
    </xf>
    <xf numFmtId="181" fontId="23" fillId="2" borderId="0" xfId="0" applyNumberFormat="1" applyFont="1" applyFill="1" applyBorder="1" applyAlignment="1">
      <alignment horizontal="right"/>
    </xf>
    <xf numFmtId="0" fontId="23" fillId="6" borderId="44" xfId="0" applyFont="1" applyFill="1" applyBorder="1"/>
    <xf numFmtId="189" fontId="20" fillId="2" borderId="8" xfId="1" applyNumberFormat="1" applyFont="1" applyFill="1" applyBorder="1" applyAlignment="1">
      <alignment horizontal="center"/>
    </xf>
    <xf numFmtId="7" fontId="20" fillId="2" borderId="8" xfId="0" applyNumberFormat="1" applyFont="1" applyFill="1" applyBorder="1" applyAlignment="1">
      <alignment horizontal="center"/>
    </xf>
    <xf numFmtId="0" fontId="26" fillId="2" borderId="1" xfId="0" applyFont="1" applyFill="1" applyBorder="1"/>
    <xf numFmtId="0" fontId="20" fillId="2" borderId="28" xfId="0" applyFont="1" applyFill="1" applyBorder="1" applyAlignment="1">
      <alignment horizontal="center" vertical="top" wrapText="1"/>
    </xf>
    <xf numFmtId="0" fontId="20" fillId="0" borderId="0" xfId="0" applyFont="1" applyBorder="1" applyAlignment="1"/>
    <xf numFmtId="0" fontId="23" fillId="2" borderId="3" xfId="0" applyFont="1" applyFill="1" applyBorder="1" applyAlignment="1">
      <alignment vertical="top"/>
    </xf>
    <xf numFmtId="0" fontId="23" fillId="2" borderId="28" xfId="0" applyFont="1" applyFill="1" applyBorder="1" applyAlignment="1">
      <alignment horizontal="center" vertical="top"/>
    </xf>
    <xf numFmtId="10" fontId="23" fillId="2" borderId="0" xfId="0" applyNumberFormat="1" applyFont="1" applyFill="1" applyBorder="1" applyAlignment="1"/>
    <xf numFmtId="0" fontId="24" fillId="2" borderId="1" xfId="0" applyFont="1" applyFill="1" applyBorder="1"/>
    <xf numFmtId="0" fontId="20" fillId="2" borderId="2" xfId="0" applyFont="1" applyFill="1" applyBorder="1" applyAlignment="1">
      <alignment vertical="top" wrapText="1"/>
    </xf>
    <xf numFmtId="0" fontId="20" fillId="2" borderId="0" xfId="0" applyFont="1" applyFill="1" applyBorder="1" applyAlignment="1">
      <alignment horizontal="left" vertical="top" wrapText="1"/>
    </xf>
    <xf numFmtId="0" fontId="23" fillId="10" borderId="0" xfId="0" applyFont="1" applyFill="1"/>
    <xf numFmtId="49" fontId="20" fillId="10" borderId="0" xfId="0" applyNumberFormat="1" applyFont="1" applyFill="1" applyAlignment="1">
      <alignment horizontal="right"/>
    </xf>
    <xf numFmtId="181" fontId="20" fillId="10" borderId="0" xfId="0" applyNumberFormat="1" applyFont="1" applyFill="1"/>
    <xf numFmtId="0" fontId="20" fillId="10" borderId="0" xfId="0" applyFont="1" applyFill="1" applyAlignment="1">
      <alignment horizontal="center"/>
    </xf>
    <xf numFmtId="43" fontId="20" fillId="10" borderId="0" xfId="1" applyFont="1" applyFill="1"/>
    <xf numFmtId="4" fontId="20" fillId="10" borderId="0" xfId="0" applyNumberFormat="1" applyFont="1" applyFill="1"/>
    <xf numFmtId="0" fontId="19" fillId="10" borderId="0" xfId="0" applyFont="1" applyFill="1"/>
    <xf numFmtId="0" fontId="20" fillId="2" borderId="0" xfId="0" applyFont="1" applyFill="1" applyBorder="1" applyAlignment="1">
      <alignment horizontal="center" vertical="top"/>
    </xf>
    <xf numFmtId="0" fontId="20" fillId="2" borderId="14" xfId="0" applyFont="1" applyFill="1" applyBorder="1" applyAlignment="1">
      <alignment vertical="top"/>
    </xf>
    <xf numFmtId="0" fontId="20" fillId="2" borderId="16" xfId="0" applyFont="1" applyFill="1" applyBorder="1" applyAlignment="1">
      <alignment horizontal="center" vertical="top"/>
    </xf>
    <xf numFmtId="43" fontId="20" fillId="2" borderId="7" xfId="0" applyNumberFormat="1" applyFont="1" applyFill="1" applyBorder="1"/>
    <xf numFmtId="0" fontId="26" fillId="2" borderId="0" xfId="0" applyFont="1" applyFill="1" applyBorder="1" applyAlignment="1">
      <alignment horizontal="right" vertical="top"/>
    </xf>
    <xf numFmtId="0" fontId="54" fillId="2" borderId="0" xfId="0" applyFont="1" applyFill="1" applyBorder="1" applyAlignment="1">
      <alignment horizontal="left"/>
    </xf>
    <xf numFmtId="0" fontId="23" fillId="2" borderId="0" xfId="0" applyFont="1" applyFill="1" applyBorder="1" applyAlignment="1">
      <alignment vertical="top"/>
    </xf>
    <xf numFmtId="3" fontId="53" fillId="2" borderId="9" xfId="0" applyNumberFormat="1" applyFont="1" applyFill="1" applyBorder="1" applyAlignment="1"/>
    <xf numFmtId="187" fontId="23" fillId="2" borderId="10" xfId="0" applyNumberFormat="1" applyFont="1" applyFill="1" applyBorder="1" applyAlignment="1">
      <alignment horizontal="right" wrapText="1"/>
    </xf>
    <xf numFmtId="10" fontId="23" fillId="2" borderId="10" xfId="0" applyNumberFormat="1" applyFont="1" applyFill="1" applyBorder="1" applyAlignment="1">
      <alignment horizontal="right" wrapText="1"/>
    </xf>
    <xf numFmtId="0" fontId="20" fillId="2" borderId="11" xfId="0" applyFont="1" applyFill="1" applyBorder="1" applyAlignment="1">
      <alignment horizontal="center"/>
    </xf>
    <xf numFmtId="10" fontId="23" fillId="2" borderId="3" xfId="0" applyNumberFormat="1" applyFont="1" applyFill="1" applyBorder="1" applyAlignment="1"/>
    <xf numFmtId="0" fontId="24" fillId="2" borderId="0" xfId="0" applyNumberFormat="1" applyFont="1" applyFill="1" applyBorder="1" applyAlignment="1">
      <alignment horizontal="left" vertical="center" wrapText="1"/>
    </xf>
    <xf numFmtId="0" fontId="23" fillId="2" borderId="14" xfId="0" applyFont="1" applyFill="1" applyBorder="1" applyAlignment="1">
      <alignment horizontal="center" vertical="top" wrapText="1"/>
    </xf>
    <xf numFmtId="0" fontId="49" fillId="2" borderId="0" xfId="0" applyFont="1" applyFill="1" applyBorder="1" applyAlignment="1">
      <alignment horizontal="left"/>
    </xf>
    <xf numFmtId="0" fontId="20" fillId="2" borderId="15" xfId="0" applyFont="1" applyFill="1" applyBorder="1"/>
    <xf numFmtId="0" fontId="23" fillId="2" borderId="17" xfId="0" applyFont="1" applyFill="1" applyBorder="1" applyAlignment="1">
      <alignment horizontal="center"/>
    </xf>
    <xf numFmtId="2" fontId="20" fillId="2" borderId="28" xfId="0" applyNumberFormat="1" applyFont="1" applyFill="1" applyBorder="1" applyAlignment="1">
      <alignment horizontal="center"/>
    </xf>
    <xf numFmtId="2" fontId="20" fillId="2" borderId="2" xfId="0" applyNumberFormat="1" applyFont="1" applyFill="1" applyBorder="1" applyAlignment="1">
      <alignment horizontal="center"/>
    </xf>
    <xf numFmtId="10" fontId="20" fillId="2" borderId="2" xfId="7" applyNumberFormat="1" applyFont="1" applyFill="1" applyBorder="1" applyAlignment="1">
      <alignment horizontal="center"/>
    </xf>
    <xf numFmtId="4" fontId="20" fillId="2" borderId="38" xfId="0" applyNumberFormat="1" applyFont="1" applyFill="1" applyBorder="1" applyAlignment="1">
      <alignment horizontal="center"/>
    </xf>
    <xf numFmtId="1" fontId="20" fillId="2" borderId="38" xfId="0" applyNumberFormat="1" applyFont="1" applyFill="1" applyBorder="1" applyAlignment="1">
      <alignment horizontal="center"/>
    </xf>
    <xf numFmtId="1" fontId="20" fillId="2" borderId="15" xfId="0" applyNumberFormat="1" applyFont="1" applyFill="1" applyBorder="1" applyAlignment="1">
      <alignment horizontal="center"/>
    </xf>
    <xf numFmtId="2" fontId="20" fillId="2" borderId="5" xfId="0" applyNumberFormat="1" applyFont="1" applyFill="1" applyBorder="1" applyAlignment="1">
      <alignment horizontal="center"/>
    </xf>
    <xf numFmtId="188" fontId="49" fillId="2" borderId="28" xfId="0" applyNumberFormat="1" applyFont="1" applyFill="1" applyBorder="1" applyAlignment="1">
      <alignment horizontal="right"/>
    </xf>
    <xf numFmtId="1" fontId="49" fillId="2" borderId="38" xfId="0" applyNumberFormat="1" applyFont="1" applyFill="1" applyBorder="1" applyAlignment="1">
      <alignment horizontal="right"/>
    </xf>
    <xf numFmtId="186" fontId="49" fillId="2" borderId="15" xfId="0" applyNumberFormat="1" applyFont="1" applyFill="1" applyBorder="1" applyAlignment="1">
      <alignment horizontal="right"/>
    </xf>
    <xf numFmtId="10" fontId="20" fillId="2" borderId="38" xfId="7" applyNumberFormat="1" applyFont="1" applyFill="1" applyBorder="1" applyAlignment="1">
      <alignment horizontal="right"/>
    </xf>
    <xf numFmtId="10" fontId="20" fillId="2" borderId="38" xfId="0" applyNumberFormat="1" applyFont="1" applyFill="1" applyBorder="1" applyAlignment="1">
      <alignment horizontal="right"/>
    </xf>
    <xf numFmtId="10" fontId="20" fillId="2" borderId="15" xfId="0" applyNumberFormat="1" applyFont="1" applyFill="1" applyBorder="1" applyAlignment="1">
      <alignment horizontal="right"/>
    </xf>
    <xf numFmtId="165" fontId="20" fillId="2" borderId="38" xfId="0" applyNumberFormat="1" applyFont="1" applyFill="1" applyBorder="1" applyAlignment="1">
      <alignment horizontal="right"/>
    </xf>
    <xf numFmtId="10" fontId="20" fillId="2" borderId="2" xfId="0" applyNumberFormat="1" applyFont="1" applyFill="1" applyBorder="1" applyAlignment="1">
      <alignment horizontal="right"/>
    </xf>
    <xf numFmtId="10" fontId="20" fillId="2" borderId="5" xfId="0" applyNumberFormat="1" applyFont="1" applyFill="1" applyBorder="1" applyAlignment="1">
      <alignment horizontal="right"/>
    </xf>
    <xf numFmtId="165" fontId="20" fillId="2" borderId="38" xfId="1" applyNumberFormat="1" applyFont="1" applyFill="1" applyBorder="1" applyAlignment="1">
      <alignment horizontal="right"/>
    </xf>
    <xf numFmtId="165" fontId="20" fillId="2" borderId="15" xfId="1" applyNumberFormat="1" applyFont="1" applyFill="1" applyBorder="1" applyAlignment="1">
      <alignment horizontal="right"/>
    </xf>
    <xf numFmtId="10" fontId="20" fillId="2" borderId="15" xfId="7" applyNumberFormat="1" applyFont="1" applyFill="1" applyBorder="1" applyAlignment="1">
      <alignment horizontal="right"/>
    </xf>
    <xf numFmtId="165" fontId="20" fillId="2" borderId="15" xfId="0" applyNumberFormat="1" applyFont="1" applyFill="1" applyBorder="1" applyAlignment="1">
      <alignment horizontal="right"/>
    </xf>
    <xf numFmtId="3" fontId="20" fillId="2" borderId="28" xfId="0" applyNumberFormat="1" applyFont="1" applyFill="1" applyBorder="1" applyAlignment="1"/>
    <xf numFmtId="189" fontId="20" fillId="2" borderId="28" xfId="0" applyNumberFormat="1" applyFont="1" applyFill="1" applyBorder="1" applyAlignment="1">
      <alignment horizontal="right"/>
    </xf>
    <xf numFmtId="189" fontId="20" fillId="2" borderId="38" xfId="0" applyNumberFormat="1" applyFont="1" applyFill="1" applyBorder="1" applyAlignment="1">
      <alignment horizontal="right"/>
    </xf>
    <xf numFmtId="3" fontId="20" fillId="2" borderId="15" xfId="0" applyNumberFormat="1" applyFont="1" applyFill="1" applyBorder="1" applyAlignment="1">
      <alignment horizontal="right"/>
    </xf>
    <xf numFmtId="3" fontId="53" fillId="2" borderId="17" xfId="0" applyNumberFormat="1" applyFont="1" applyFill="1" applyBorder="1" applyAlignment="1"/>
    <xf numFmtId="187" fontId="19" fillId="2" borderId="14" xfId="0" applyNumberFormat="1" applyFont="1" applyFill="1" applyBorder="1" applyAlignment="1">
      <alignment horizontal="right"/>
    </xf>
    <xf numFmtId="10" fontId="23" fillId="2" borderId="14" xfId="0" applyNumberFormat="1" applyFont="1" applyFill="1" applyBorder="1" applyAlignment="1">
      <alignment horizontal="right" vertical="top" wrapText="1"/>
    </xf>
    <xf numFmtId="187" fontId="23" fillId="2" borderId="14" xfId="0" applyNumberFormat="1" applyFont="1" applyFill="1" applyBorder="1" applyAlignment="1">
      <alignment horizontal="right" vertical="top" wrapText="1"/>
    </xf>
    <xf numFmtId="0" fontId="23" fillId="2" borderId="14" xfId="0" applyFont="1" applyFill="1" applyBorder="1" applyAlignment="1">
      <alignment horizontal="right" vertical="top" wrapText="1"/>
    </xf>
    <xf numFmtId="10" fontId="23" fillId="2" borderId="16" xfId="0" applyNumberFormat="1" applyFont="1" applyFill="1" applyBorder="1" applyAlignment="1">
      <alignment horizontal="right" vertical="top" wrapText="1"/>
    </xf>
    <xf numFmtId="0" fontId="53" fillId="2" borderId="0" xfId="0" applyFont="1" applyFill="1"/>
    <xf numFmtId="0" fontId="53" fillId="2" borderId="14" xfId="0" applyFont="1" applyFill="1" applyBorder="1" applyAlignment="1"/>
    <xf numFmtId="3" fontId="53" fillId="2" borderId="0" xfId="0" applyNumberFormat="1" applyFont="1" applyFill="1" applyBorder="1" applyAlignment="1">
      <alignment vertical="center"/>
    </xf>
    <xf numFmtId="0" fontId="19" fillId="10" borderId="0" xfId="0" applyFont="1" applyFill="1" applyAlignment="1">
      <alignment horizontal="right"/>
    </xf>
    <xf numFmtId="1" fontId="20" fillId="10" borderId="0" xfId="0" applyNumberFormat="1" applyFont="1" applyFill="1" applyAlignment="1">
      <alignment horizontal="right"/>
    </xf>
    <xf numFmtId="186" fontId="49" fillId="2" borderId="0" xfId="0" applyNumberFormat="1" applyFont="1" applyFill="1" applyBorder="1" applyAlignment="1">
      <alignment horizontal="right"/>
    </xf>
    <xf numFmtId="187" fontId="25" fillId="2" borderId="1" xfId="0" applyNumberFormat="1" applyFont="1" applyFill="1" applyBorder="1" applyAlignment="1">
      <alignment horizontal="left" vertical="top"/>
    </xf>
    <xf numFmtId="187" fontId="25" fillId="2" borderId="3" xfId="0" applyNumberFormat="1" applyFont="1" applyFill="1" applyBorder="1" applyAlignment="1">
      <alignment horizontal="left" vertical="top"/>
    </xf>
    <xf numFmtId="0" fontId="23" fillId="2" borderId="0" xfId="0" applyFont="1" applyFill="1" applyBorder="1" applyAlignment="1">
      <alignment horizontal="left" vertical="top"/>
    </xf>
    <xf numFmtId="187" fontId="20" fillId="2" borderId="28" xfId="0" applyNumberFormat="1" applyFont="1" applyFill="1" applyBorder="1" applyAlignment="1">
      <alignment horizontal="left" vertical="top" wrapText="1"/>
    </xf>
    <xf numFmtId="187" fontId="20" fillId="2" borderId="38" xfId="0" applyNumberFormat="1" applyFont="1" applyFill="1" applyBorder="1" applyAlignment="1">
      <alignment horizontal="left" vertical="top" wrapText="1"/>
    </xf>
    <xf numFmtId="0" fontId="20" fillId="2" borderId="38" xfId="0" applyFont="1" applyFill="1" applyBorder="1" applyAlignment="1">
      <alignment vertical="top" wrapText="1"/>
    </xf>
    <xf numFmtId="187" fontId="36" fillId="2" borderId="9" xfId="3" applyNumberFormat="1" applyFont="1" applyFill="1" applyBorder="1" applyAlignment="1" applyProtection="1">
      <alignment horizontal="left"/>
    </xf>
    <xf numFmtId="187" fontId="36" fillId="2" borderId="1" xfId="3" applyNumberFormat="1" applyFont="1" applyFill="1" applyBorder="1" applyAlignment="1" applyProtection="1">
      <alignment horizontal="left"/>
    </xf>
    <xf numFmtId="0" fontId="36" fillId="2" borderId="1" xfId="0" applyFont="1" applyFill="1" applyBorder="1"/>
    <xf numFmtId="187" fontId="20" fillId="2" borderId="0" xfId="0" applyNumberFormat="1" applyFont="1" applyFill="1" applyBorder="1" applyAlignment="1">
      <alignment horizontal="left" wrapText="1"/>
    </xf>
    <xf numFmtId="0" fontId="20" fillId="2" borderId="28" xfId="0" applyFont="1" applyFill="1" applyBorder="1" applyAlignment="1">
      <alignment vertical="top" wrapText="1"/>
    </xf>
    <xf numFmtId="187" fontId="20" fillId="2" borderId="15" xfId="0" applyNumberFormat="1" applyFont="1" applyFill="1" applyBorder="1" applyAlignment="1">
      <alignment horizontal="left" vertical="top" wrapText="1"/>
    </xf>
    <xf numFmtId="43" fontId="20" fillId="10" borderId="0" xfId="0" applyNumberFormat="1" applyFont="1" applyFill="1" applyBorder="1"/>
    <xf numFmtId="188" fontId="49" fillId="2" borderId="38" xfId="0" applyNumberFormat="1" applyFont="1" applyFill="1" applyBorder="1" applyAlignment="1">
      <alignment horizontal="right"/>
    </xf>
    <xf numFmtId="0" fontId="8" fillId="2" borderId="1" xfId="3" applyFill="1" applyBorder="1" applyAlignment="1" applyProtection="1"/>
    <xf numFmtId="0" fontId="8" fillId="2" borderId="3" xfId="3" applyFill="1" applyBorder="1" applyAlignment="1" applyProtection="1"/>
    <xf numFmtId="0" fontId="49" fillId="2" borderId="28" xfId="0" applyFont="1" applyFill="1" applyBorder="1" applyAlignment="1"/>
    <xf numFmtId="0" fontId="49" fillId="2" borderId="38" xfId="0" applyFont="1" applyFill="1" applyBorder="1" applyAlignment="1">
      <alignment horizontal="left"/>
    </xf>
    <xf numFmtId="186" fontId="49" fillId="2" borderId="38" xfId="0" applyNumberFormat="1" applyFont="1" applyFill="1" applyBorder="1" applyAlignment="1">
      <alignment horizontal="left"/>
    </xf>
    <xf numFmtId="186" fontId="49" fillId="2" borderId="15" xfId="0" applyNumberFormat="1" applyFont="1" applyFill="1" applyBorder="1" applyAlignment="1">
      <alignment horizontal="left"/>
    </xf>
    <xf numFmtId="3" fontId="53" fillId="16" borderId="0" xfId="0" applyNumberFormat="1" applyFont="1" applyFill="1" applyBorder="1" applyAlignment="1"/>
    <xf numFmtId="187" fontId="20" fillId="16" borderId="0" xfId="0" applyNumberFormat="1" applyFont="1" applyFill="1" applyAlignment="1">
      <alignment horizontal="right"/>
    </xf>
    <xf numFmtId="10" fontId="20" fillId="16" borderId="0" xfId="0" applyNumberFormat="1" applyFont="1" applyFill="1"/>
    <xf numFmtId="165" fontId="37" fillId="16" borderId="0" xfId="1" applyNumberFormat="1" applyFont="1" applyFill="1" applyAlignment="1">
      <alignment horizontal="right"/>
    </xf>
    <xf numFmtId="3" fontId="19" fillId="16" borderId="0" xfId="0" applyNumberFormat="1" applyFont="1" applyFill="1" applyBorder="1" applyAlignment="1">
      <alignment horizontal="center" wrapText="1"/>
    </xf>
    <xf numFmtId="0" fontId="20" fillId="16" borderId="0" xfId="0" applyFont="1" applyFill="1" applyBorder="1"/>
    <xf numFmtId="0" fontId="20" fillId="16" borderId="0" xfId="0" applyFont="1" applyFill="1"/>
    <xf numFmtId="10" fontId="20" fillId="16" borderId="0" xfId="0" applyNumberFormat="1" applyFont="1" applyFill="1" applyBorder="1" applyAlignment="1"/>
    <xf numFmtId="195" fontId="20" fillId="16" borderId="0" xfId="0" applyNumberFormat="1" applyFont="1" applyFill="1" applyBorder="1" applyAlignment="1">
      <alignment horizontal="right"/>
    </xf>
    <xf numFmtId="165" fontId="20" fillId="16" borderId="0" xfId="1" applyNumberFormat="1" applyFont="1" applyFill="1" applyBorder="1" applyAlignment="1">
      <alignment horizontal="right"/>
    </xf>
    <xf numFmtId="10" fontId="20" fillId="16" borderId="0" xfId="0" applyNumberFormat="1" applyFont="1" applyFill="1" applyBorder="1"/>
    <xf numFmtId="187" fontId="20" fillId="16" borderId="0" xfId="0" applyNumberFormat="1" applyFont="1" applyFill="1" applyBorder="1" applyAlignment="1">
      <alignment horizontal="right"/>
    </xf>
    <xf numFmtId="0" fontId="20" fillId="16" borderId="0" xfId="0" applyFont="1" applyFill="1" applyBorder="1" applyAlignment="1">
      <alignment horizontal="right" wrapText="1"/>
    </xf>
    <xf numFmtId="10" fontId="24" fillId="16" borderId="0" xfId="0" applyNumberFormat="1" applyFont="1" applyFill="1" applyAlignment="1"/>
    <xf numFmtId="0" fontId="54" fillId="16" borderId="0" xfId="0" applyFont="1" applyFill="1" applyAlignment="1">
      <alignment horizontal="left"/>
    </xf>
    <xf numFmtId="187" fontId="20" fillId="16" borderId="0" xfId="0" applyNumberFormat="1" applyFont="1" applyFill="1" applyBorder="1" applyAlignment="1">
      <alignment horizontal="center"/>
    </xf>
    <xf numFmtId="10" fontId="20" fillId="16" borderId="0" xfId="0" applyNumberFormat="1" applyFont="1" applyFill="1" applyBorder="1" applyAlignment="1">
      <alignment horizontal="center"/>
    </xf>
    <xf numFmtId="0" fontId="20" fillId="16" borderId="0" xfId="0" applyFont="1" applyFill="1" applyBorder="1" applyAlignment="1">
      <alignment horizontal="center"/>
    </xf>
    <xf numFmtId="10" fontId="23" fillId="16" borderId="0" xfId="0" applyNumberFormat="1" applyFont="1" applyFill="1" applyBorder="1" applyAlignment="1"/>
    <xf numFmtId="165" fontId="37" fillId="16" borderId="0" xfId="1" applyNumberFormat="1" applyFont="1" applyFill="1" applyBorder="1" applyAlignment="1">
      <alignment horizontal="right"/>
    </xf>
    <xf numFmtId="194" fontId="20" fillId="16" borderId="0" xfId="0" applyNumberFormat="1" applyFont="1" applyFill="1" applyBorder="1" applyAlignment="1">
      <alignment horizontal="center"/>
    </xf>
    <xf numFmtId="195" fontId="20" fillId="16" borderId="0" xfId="0" applyNumberFormat="1" applyFont="1" applyFill="1" applyBorder="1" applyAlignment="1">
      <alignment horizontal="center"/>
    </xf>
    <xf numFmtId="196" fontId="20" fillId="16" borderId="0" xfId="0" applyNumberFormat="1" applyFont="1" applyFill="1" applyBorder="1" applyAlignment="1">
      <alignment horizontal="center"/>
    </xf>
    <xf numFmtId="186" fontId="20" fillId="16" borderId="0" xfId="0" applyNumberFormat="1" applyFont="1" applyFill="1" applyBorder="1" applyAlignment="1">
      <alignment horizontal="center"/>
    </xf>
    <xf numFmtId="3" fontId="53" fillId="16" borderId="9" xfId="0" applyNumberFormat="1" applyFont="1" applyFill="1" applyBorder="1" applyAlignment="1">
      <alignment wrapText="1"/>
    </xf>
    <xf numFmtId="187" fontId="20" fillId="16" borderId="10" xfId="0" applyNumberFormat="1" applyFont="1" applyFill="1" applyBorder="1" applyAlignment="1">
      <alignment horizontal="right"/>
    </xf>
    <xf numFmtId="3" fontId="19" fillId="16" borderId="10" xfId="0" applyNumberFormat="1" applyFont="1" applyFill="1" applyBorder="1" applyAlignment="1">
      <alignment horizontal="center" wrapText="1"/>
    </xf>
    <xf numFmtId="3" fontId="19" fillId="16" borderId="11" xfId="0" applyNumberFormat="1" applyFont="1" applyFill="1" applyBorder="1" applyAlignment="1">
      <alignment horizontal="center" wrapText="1"/>
    </xf>
    <xf numFmtId="10" fontId="19" fillId="16" borderId="0" xfId="0" applyNumberFormat="1" applyFont="1" applyFill="1" applyBorder="1" applyAlignment="1">
      <alignment horizontal="center" wrapText="1"/>
    </xf>
    <xf numFmtId="194" fontId="19" fillId="16" borderId="0" xfId="0" applyNumberFormat="1" applyFont="1" applyFill="1" applyBorder="1" applyAlignment="1">
      <alignment horizontal="center"/>
    </xf>
    <xf numFmtId="208" fontId="19" fillId="16" borderId="0" xfId="0" applyNumberFormat="1" applyFont="1" applyFill="1" applyBorder="1" applyAlignment="1">
      <alignment horizontal="center"/>
    </xf>
    <xf numFmtId="196" fontId="19" fillId="16" borderId="0" xfId="0" applyNumberFormat="1" applyFont="1" applyFill="1" applyBorder="1" applyAlignment="1">
      <alignment horizontal="center"/>
    </xf>
    <xf numFmtId="3" fontId="23" fillId="16" borderId="1" xfId="0" applyNumberFormat="1" applyFont="1" applyFill="1" applyBorder="1" applyAlignment="1">
      <alignment wrapText="1"/>
    </xf>
    <xf numFmtId="3" fontId="19" fillId="16" borderId="2" xfId="0" applyNumberFormat="1" applyFont="1" applyFill="1" applyBorder="1" applyAlignment="1">
      <alignment horizontal="center" wrapText="1"/>
    </xf>
    <xf numFmtId="0" fontId="20" fillId="16" borderId="1" xfId="5" applyFont="1" applyFill="1" applyBorder="1" applyAlignment="1"/>
    <xf numFmtId="0" fontId="20" fillId="16" borderId="2" xfId="0" applyFont="1" applyFill="1" applyBorder="1" applyAlignment="1">
      <alignment horizontal="center"/>
    </xf>
    <xf numFmtId="191" fontId="20" fillId="16" borderId="0" xfId="0" applyNumberFormat="1" applyFont="1" applyFill="1" applyBorder="1" applyAlignment="1">
      <alignment horizontal="center"/>
    </xf>
    <xf numFmtId="191" fontId="20" fillId="16" borderId="2" xfId="0" applyNumberFormat="1" applyFont="1" applyFill="1" applyBorder="1" applyAlignment="1">
      <alignment horizontal="center"/>
    </xf>
    <xf numFmtId="195" fontId="20" fillId="16" borderId="2" xfId="0" applyNumberFormat="1" applyFont="1" applyFill="1" applyBorder="1" applyAlignment="1">
      <alignment horizontal="center"/>
    </xf>
    <xf numFmtId="208" fontId="20" fillId="16" borderId="2" xfId="0" applyNumberFormat="1" applyFont="1" applyFill="1" applyBorder="1" applyAlignment="1">
      <alignment horizontal="center"/>
    </xf>
    <xf numFmtId="208" fontId="20" fillId="16" borderId="0" xfId="0" applyNumberFormat="1" applyFont="1" applyFill="1" applyBorder="1" applyAlignment="1">
      <alignment horizontal="center"/>
    </xf>
    <xf numFmtId="207" fontId="20" fillId="16" borderId="0" xfId="0" applyNumberFormat="1" applyFont="1" applyFill="1" applyBorder="1" applyAlignment="1">
      <alignment horizontal="center"/>
    </xf>
    <xf numFmtId="192" fontId="20" fillId="16" borderId="0" xfId="0" applyNumberFormat="1" applyFont="1" applyFill="1" applyBorder="1" applyAlignment="1">
      <alignment horizontal="center"/>
    </xf>
    <xf numFmtId="192" fontId="20" fillId="16" borderId="2" xfId="0" applyNumberFormat="1" applyFont="1" applyFill="1" applyBorder="1" applyAlignment="1">
      <alignment horizontal="center"/>
    </xf>
    <xf numFmtId="209" fontId="20" fillId="16" borderId="0" xfId="0" applyNumberFormat="1" applyFont="1" applyFill="1" applyBorder="1" applyAlignment="1">
      <alignment horizontal="center"/>
    </xf>
    <xf numFmtId="210" fontId="20" fillId="16" borderId="2" xfId="0" applyNumberFormat="1" applyFont="1" applyFill="1" applyBorder="1" applyAlignment="1">
      <alignment horizontal="center"/>
    </xf>
    <xf numFmtId="210" fontId="20" fillId="16" borderId="0" xfId="0" applyNumberFormat="1" applyFont="1" applyFill="1" applyBorder="1" applyAlignment="1">
      <alignment horizontal="center"/>
    </xf>
    <xf numFmtId="0" fontId="20" fillId="16" borderId="0" xfId="0" applyFont="1" applyFill="1" applyBorder="1" applyAlignment="1">
      <alignment horizontal="center" wrapText="1"/>
    </xf>
    <xf numFmtId="0" fontId="20" fillId="16" borderId="2" xfId="0" applyFont="1" applyFill="1" applyBorder="1" applyAlignment="1">
      <alignment horizontal="center" wrapText="1"/>
    </xf>
    <xf numFmtId="168" fontId="20" fillId="16" borderId="0" xfId="7" applyNumberFormat="1" applyFont="1" applyFill="1" applyBorder="1" applyAlignment="1">
      <alignment horizontal="center"/>
    </xf>
    <xf numFmtId="168" fontId="20" fillId="16" borderId="2" xfId="7" applyNumberFormat="1" applyFont="1" applyFill="1" applyBorder="1" applyAlignment="1">
      <alignment horizontal="center"/>
    </xf>
    <xf numFmtId="0" fontId="20" fillId="16" borderId="1" xfId="0" applyFont="1" applyFill="1" applyBorder="1" applyAlignment="1"/>
    <xf numFmtId="2" fontId="38" fillId="16" borderId="0" xfId="0" applyNumberFormat="1" applyFont="1" applyFill="1" applyBorder="1" applyAlignment="1">
      <alignment horizontal="center"/>
    </xf>
    <xf numFmtId="2" fontId="38" fillId="16" borderId="2" xfId="0" applyNumberFormat="1" applyFont="1" applyFill="1" applyBorder="1" applyAlignment="1">
      <alignment horizontal="center"/>
    </xf>
    <xf numFmtId="186" fontId="20" fillId="16" borderId="2" xfId="0" applyNumberFormat="1" applyFont="1" applyFill="1" applyBorder="1" applyAlignment="1">
      <alignment horizontal="center"/>
    </xf>
    <xf numFmtId="186" fontId="20" fillId="16" borderId="5" xfId="0" applyNumberFormat="1" applyFont="1" applyFill="1" applyBorder="1" applyAlignment="1">
      <alignment horizontal="center"/>
    </xf>
    <xf numFmtId="0" fontId="19" fillId="16" borderId="9" xfId="5" applyFont="1" applyFill="1" applyBorder="1" applyAlignment="1"/>
    <xf numFmtId="0" fontId="20" fillId="16" borderId="10" xfId="0" applyFont="1" applyFill="1" applyBorder="1" applyAlignment="1">
      <alignment horizontal="center"/>
    </xf>
    <xf numFmtId="187" fontId="20" fillId="16" borderId="11" xfId="0" applyNumberFormat="1" applyFont="1" applyFill="1" applyBorder="1" applyAlignment="1">
      <alignment horizontal="center"/>
    </xf>
    <xf numFmtId="186" fontId="20" fillId="16" borderId="0" xfId="0" applyNumberFormat="1" applyFont="1" applyFill="1" applyBorder="1"/>
    <xf numFmtId="0" fontId="23" fillId="16" borderId="1" xfId="0" applyFont="1" applyFill="1" applyBorder="1" applyAlignment="1"/>
    <xf numFmtId="187" fontId="20" fillId="16" borderId="2" xfId="0" applyNumberFormat="1" applyFont="1" applyFill="1" applyBorder="1" applyAlignment="1">
      <alignment horizontal="center"/>
    </xf>
    <xf numFmtId="0" fontId="19" fillId="16" borderId="1" xfId="0" applyFont="1" applyFill="1" applyBorder="1" applyAlignment="1"/>
    <xf numFmtId="10" fontId="20" fillId="16" borderId="1" xfId="0" applyNumberFormat="1" applyFont="1" applyFill="1" applyBorder="1" applyAlignment="1"/>
    <xf numFmtId="194" fontId="20" fillId="16" borderId="2" xfId="0" applyNumberFormat="1" applyFont="1" applyFill="1" applyBorder="1" applyAlignment="1">
      <alignment horizontal="center"/>
    </xf>
    <xf numFmtId="0" fontId="20" fillId="16" borderId="3" xfId="5" applyFont="1" applyFill="1" applyBorder="1" applyAlignment="1"/>
    <xf numFmtId="187" fontId="20" fillId="16" borderId="4" xfId="0" applyNumberFormat="1" applyFont="1" applyFill="1" applyBorder="1" applyAlignment="1">
      <alignment horizontal="right"/>
    </xf>
    <xf numFmtId="195" fontId="20" fillId="16" borderId="4" xfId="0" applyNumberFormat="1" applyFont="1" applyFill="1" applyBorder="1" applyAlignment="1">
      <alignment horizontal="center"/>
    </xf>
    <xf numFmtId="195" fontId="20" fillId="16" borderId="5" xfId="0" applyNumberFormat="1" applyFont="1" applyFill="1" applyBorder="1" applyAlignment="1">
      <alignment horizontal="center"/>
    </xf>
    <xf numFmtId="3" fontId="23" fillId="16" borderId="0" xfId="0" applyNumberFormat="1" applyFont="1" applyFill="1" applyAlignment="1"/>
    <xf numFmtId="10" fontId="20" fillId="16" borderId="0" xfId="0" applyNumberFormat="1" applyFont="1" applyFill="1" applyAlignment="1">
      <alignment horizontal="center" wrapText="1"/>
    </xf>
    <xf numFmtId="0" fontId="20" fillId="16" borderId="0" xfId="1" applyNumberFormat="1" applyFont="1" applyFill="1" applyBorder="1" applyAlignment="1">
      <alignment horizontal="center"/>
    </xf>
    <xf numFmtId="192" fontId="20" fillId="16" borderId="0" xfId="0" applyNumberFormat="1" applyFont="1" applyFill="1" applyAlignment="1">
      <alignment horizontal="center"/>
    </xf>
    <xf numFmtId="10" fontId="23" fillId="16" borderId="0" xfId="0" applyNumberFormat="1" applyFont="1" applyFill="1" applyAlignment="1"/>
    <xf numFmtId="213" fontId="19" fillId="16" borderId="10" xfId="0" applyNumberFormat="1" applyFont="1" applyFill="1" applyBorder="1" applyAlignment="1">
      <alignment horizontal="center"/>
    </xf>
    <xf numFmtId="194" fontId="19" fillId="16" borderId="10" xfId="0" applyNumberFormat="1" applyFont="1" applyFill="1" applyBorder="1" applyAlignment="1">
      <alignment horizontal="center"/>
    </xf>
    <xf numFmtId="195" fontId="19" fillId="16" borderId="11" xfId="0" applyNumberFormat="1" applyFont="1" applyFill="1" applyBorder="1" applyAlignment="1">
      <alignment horizontal="center"/>
    </xf>
    <xf numFmtId="211" fontId="19" fillId="16" borderId="0" xfId="0" applyNumberFormat="1" applyFont="1" applyFill="1" applyBorder="1" applyAlignment="1">
      <alignment horizontal="center"/>
    </xf>
    <xf numFmtId="212" fontId="19" fillId="16" borderId="0" xfId="0" applyNumberFormat="1" applyFont="1" applyFill="1" applyBorder="1" applyAlignment="1">
      <alignment horizontal="center"/>
    </xf>
    <xf numFmtId="213" fontId="19" fillId="16" borderId="0" xfId="0" applyNumberFormat="1" applyFont="1" applyFill="1" applyBorder="1" applyAlignment="1">
      <alignment horizontal="center"/>
    </xf>
    <xf numFmtId="195" fontId="19" fillId="16" borderId="0" xfId="0" applyNumberFormat="1" applyFont="1" applyFill="1" applyBorder="1" applyAlignment="1">
      <alignment horizontal="center"/>
    </xf>
    <xf numFmtId="3" fontId="53" fillId="16" borderId="1" xfId="0" applyNumberFormat="1" applyFont="1" applyFill="1" applyBorder="1" applyAlignment="1">
      <alignment wrapText="1"/>
    </xf>
    <xf numFmtId="195" fontId="19" fillId="16" borderId="2" xfId="0" applyNumberFormat="1" applyFont="1" applyFill="1" applyBorder="1" applyAlignment="1">
      <alignment horizontal="center"/>
    </xf>
    <xf numFmtId="187" fontId="20" fillId="16" borderId="0" xfId="5" applyNumberFormat="1" applyFont="1" applyFill="1" applyBorder="1" applyAlignment="1">
      <alignment horizontal="right"/>
    </xf>
    <xf numFmtId="213" fontId="20" fillId="16" borderId="0" xfId="0" applyNumberFormat="1" applyFont="1" applyFill="1" applyBorder="1" applyAlignment="1">
      <alignment horizontal="center"/>
    </xf>
    <xf numFmtId="211" fontId="20" fillId="16" borderId="0" xfId="0" applyNumberFormat="1" applyFont="1" applyFill="1" applyBorder="1" applyAlignment="1">
      <alignment horizontal="center"/>
    </xf>
    <xf numFmtId="212" fontId="20" fillId="16" borderId="0" xfId="0" applyNumberFormat="1" applyFont="1" applyFill="1" applyBorder="1" applyAlignment="1">
      <alignment horizontal="center"/>
    </xf>
    <xf numFmtId="201" fontId="20" fillId="16" borderId="0" xfId="0" applyNumberFormat="1" applyFont="1" applyFill="1" applyBorder="1" applyAlignment="1">
      <alignment horizontal="center"/>
    </xf>
    <xf numFmtId="194" fontId="20" fillId="16" borderId="0" xfId="0" applyNumberFormat="1" applyFont="1" applyFill="1" applyBorder="1"/>
    <xf numFmtId="0" fontId="20" fillId="16" borderId="1" xfId="5" applyFont="1" applyFill="1" applyBorder="1" applyAlignment="1">
      <alignment horizontal="left"/>
    </xf>
    <xf numFmtId="0" fontId="20" fillId="16" borderId="0" xfId="5" applyFont="1" applyFill="1" applyBorder="1" applyAlignment="1">
      <alignment horizontal="left"/>
    </xf>
    <xf numFmtId="219" fontId="20" fillId="16" borderId="0" xfId="0" applyNumberFormat="1" applyFont="1" applyFill="1" applyBorder="1" applyAlignment="1">
      <alignment horizontal="center"/>
    </xf>
    <xf numFmtId="0" fontId="62" fillId="16" borderId="0" xfId="0" applyFont="1" applyFill="1" applyBorder="1" applyAlignment="1">
      <alignment horizontal="center" wrapText="1"/>
    </xf>
    <xf numFmtId="0" fontId="62" fillId="16" borderId="0" xfId="0" applyFont="1" applyFill="1" applyBorder="1" applyAlignment="1">
      <alignment horizontal="left" wrapText="1"/>
    </xf>
    <xf numFmtId="0" fontId="62" fillId="16" borderId="0" xfId="0" applyFont="1" applyFill="1" applyBorder="1" applyAlignment="1">
      <alignment horizontal="center"/>
    </xf>
    <xf numFmtId="0" fontId="37" fillId="16" borderId="0" xfId="0" applyFont="1" applyFill="1"/>
    <xf numFmtId="190" fontId="62" fillId="16" borderId="0" xfId="0" applyNumberFormat="1" applyFont="1" applyFill="1" applyBorder="1" applyAlignment="1">
      <alignment horizontal="center"/>
    </xf>
    <xf numFmtId="3" fontId="20" fillId="16" borderId="1" xfId="0" applyNumberFormat="1" applyFont="1" applyFill="1" applyBorder="1" applyAlignment="1"/>
    <xf numFmtId="187" fontId="20" fillId="16" borderId="10" xfId="0" applyNumberFormat="1" applyFont="1" applyFill="1" applyBorder="1" applyAlignment="1">
      <alignment horizontal="center"/>
    </xf>
    <xf numFmtId="0" fontId="20" fillId="16" borderId="11" xfId="0" applyFont="1" applyFill="1" applyBorder="1" applyAlignment="1">
      <alignment horizontal="center"/>
    </xf>
    <xf numFmtId="10" fontId="20" fillId="16" borderId="2" xfId="0" applyNumberFormat="1" applyFont="1" applyFill="1" applyBorder="1" applyAlignment="1">
      <alignment horizontal="center"/>
    </xf>
    <xf numFmtId="0" fontId="19" fillId="16" borderId="3" xfId="5" applyFont="1" applyFill="1" applyBorder="1" applyAlignment="1"/>
    <xf numFmtId="0" fontId="20" fillId="16" borderId="4" xfId="0" applyFont="1" applyFill="1" applyBorder="1" applyAlignment="1">
      <alignment horizontal="center"/>
    </xf>
    <xf numFmtId="187" fontId="20" fillId="16" borderId="4" xfId="0" applyNumberFormat="1" applyFont="1" applyFill="1" applyBorder="1" applyAlignment="1">
      <alignment horizontal="center"/>
    </xf>
    <xf numFmtId="0" fontId="20" fillId="16" borderId="5" xfId="0" applyFont="1" applyFill="1" applyBorder="1" applyAlignment="1">
      <alignment horizontal="center"/>
    </xf>
    <xf numFmtId="0" fontId="19" fillId="16" borderId="0" xfId="5" applyFont="1" applyFill="1" applyBorder="1" applyAlignment="1"/>
    <xf numFmtId="3" fontId="53" fillId="16" borderId="0" xfId="0" applyNumberFormat="1" applyFont="1" applyFill="1" applyBorder="1" applyAlignment="1">
      <alignment wrapText="1"/>
    </xf>
    <xf numFmtId="10" fontId="20" fillId="16" borderId="0" xfId="0" applyNumberFormat="1" applyFont="1" applyFill="1" applyBorder="1" applyAlignment="1">
      <alignment horizontal="center" wrapText="1"/>
    </xf>
    <xf numFmtId="213" fontId="19" fillId="16" borderId="11" xfId="0" applyNumberFormat="1" applyFont="1" applyFill="1" applyBorder="1" applyAlignment="1">
      <alignment horizontal="center"/>
    </xf>
    <xf numFmtId="195" fontId="20" fillId="16" borderId="0" xfId="0" quotePrefix="1" applyNumberFormat="1" applyFont="1" applyFill="1" applyBorder="1" applyAlignment="1">
      <alignment horizontal="center"/>
    </xf>
    <xf numFmtId="0" fontId="20" fillId="16" borderId="4" xfId="0" applyFont="1" applyFill="1" applyBorder="1"/>
    <xf numFmtId="0" fontId="20" fillId="16" borderId="5" xfId="0" applyFont="1" applyFill="1" applyBorder="1"/>
    <xf numFmtId="0" fontId="54" fillId="16" borderId="9" xfId="0" applyFont="1" applyFill="1" applyBorder="1" applyAlignment="1">
      <alignment horizontal="left"/>
    </xf>
    <xf numFmtId="10" fontId="20" fillId="16" borderId="10" xfId="0" applyNumberFormat="1" applyFont="1" applyFill="1" applyBorder="1"/>
    <xf numFmtId="0" fontId="20" fillId="16" borderId="10" xfId="0" applyFont="1" applyFill="1" applyBorder="1"/>
    <xf numFmtId="0" fontId="20" fillId="16" borderId="11" xfId="0" applyFont="1" applyFill="1" applyBorder="1"/>
    <xf numFmtId="0" fontId="54" fillId="16" borderId="1" xfId="0" applyFont="1" applyFill="1" applyBorder="1" applyAlignment="1">
      <alignment horizontal="left"/>
    </xf>
    <xf numFmtId="0" fontId="20" fillId="16" borderId="2" xfId="0" applyFont="1" applyFill="1" applyBorder="1"/>
    <xf numFmtId="181" fontId="20" fillId="16" borderId="0" xfId="1" applyNumberFormat="1" applyFont="1" applyFill="1" applyBorder="1"/>
    <xf numFmtId="43" fontId="20" fillId="16" borderId="0" xfId="0" applyNumberFormat="1" applyFont="1" applyFill="1" applyBorder="1"/>
    <xf numFmtId="181" fontId="20" fillId="16" borderId="0" xfId="0" applyNumberFormat="1" applyFont="1" applyFill="1" applyBorder="1"/>
    <xf numFmtId="168" fontId="20" fillId="16" borderId="0" xfId="0" applyNumberFormat="1" applyFont="1" applyFill="1" applyBorder="1"/>
    <xf numFmtId="43" fontId="20" fillId="16" borderId="0" xfId="1" applyFont="1" applyFill="1" applyBorder="1"/>
    <xf numFmtId="0" fontId="31" fillId="16" borderId="2" xfId="0" applyFont="1" applyFill="1" applyBorder="1"/>
    <xf numFmtId="43" fontId="20" fillId="16" borderId="2" xfId="0" applyNumberFormat="1" applyFont="1" applyFill="1" applyBorder="1"/>
    <xf numFmtId="166" fontId="20" fillId="16" borderId="0" xfId="7" applyNumberFormat="1" applyFont="1" applyFill="1" applyBorder="1" applyAlignment="1">
      <alignment horizontal="right"/>
    </xf>
    <xf numFmtId="171" fontId="20" fillId="16" borderId="0" xfId="0" applyNumberFormat="1" applyFont="1" applyFill="1" applyBorder="1"/>
    <xf numFmtId="3" fontId="23" fillId="16" borderId="3" xfId="0" applyNumberFormat="1" applyFont="1" applyFill="1" applyBorder="1" applyAlignment="1">
      <alignment wrapText="1"/>
    </xf>
    <xf numFmtId="0" fontId="23" fillId="16" borderId="4" xfId="0" applyFont="1" applyFill="1" applyBorder="1" applyAlignment="1">
      <alignment wrapText="1"/>
    </xf>
    <xf numFmtId="10" fontId="20" fillId="16" borderId="4" xfId="0" applyNumberFormat="1" applyFont="1" applyFill="1" applyBorder="1"/>
    <xf numFmtId="187" fontId="20" fillId="16" borderId="5" xfId="0" applyNumberFormat="1" applyFont="1" applyFill="1" applyBorder="1" applyAlignment="1">
      <alignment horizontal="right"/>
    </xf>
    <xf numFmtId="187" fontId="19" fillId="16" borderId="0" xfId="0" applyNumberFormat="1" applyFont="1" applyFill="1" applyAlignment="1">
      <alignment horizontal="right" wrapText="1"/>
    </xf>
    <xf numFmtId="3" fontId="19" fillId="16" borderId="0" xfId="0" applyNumberFormat="1" applyFont="1" applyFill="1" applyBorder="1" applyAlignment="1"/>
    <xf numFmtId="187" fontId="19" fillId="16" borderId="0" xfId="0" applyNumberFormat="1" applyFont="1" applyFill="1" applyAlignment="1">
      <alignment horizontal="right"/>
    </xf>
    <xf numFmtId="43" fontId="20" fillId="16" borderId="0" xfId="0" applyNumberFormat="1" applyFont="1" applyFill="1" applyAlignment="1">
      <alignment horizontal="right" wrapText="1"/>
    </xf>
    <xf numFmtId="3" fontId="20" fillId="16" borderId="0" xfId="0" applyNumberFormat="1" applyFont="1" applyFill="1" applyAlignment="1"/>
    <xf numFmtId="0" fontId="23" fillId="16" borderId="17" xfId="0" applyFont="1" applyFill="1" applyBorder="1" applyAlignment="1"/>
    <xf numFmtId="0" fontId="27" fillId="16" borderId="14" xfId="0" applyFont="1" applyFill="1" applyBorder="1" applyAlignment="1">
      <alignment horizontal="center"/>
    </xf>
    <xf numFmtId="187" fontId="27" fillId="16" borderId="16" xfId="0" applyNumberFormat="1" applyFont="1" applyFill="1" applyBorder="1" applyAlignment="1">
      <alignment horizontal="center"/>
    </xf>
    <xf numFmtId="0" fontId="20" fillId="16" borderId="38" xfId="0" applyFont="1" applyFill="1" applyBorder="1" applyAlignment="1">
      <alignment horizontal="center"/>
    </xf>
    <xf numFmtId="0" fontId="20" fillId="16" borderId="28" xfId="0" applyFont="1" applyFill="1" applyBorder="1"/>
    <xf numFmtId="3" fontId="20" fillId="16" borderId="38" xfId="0" applyNumberFormat="1" applyFont="1" applyFill="1" applyBorder="1" applyAlignment="1">
      <alignment horizontal="center"/>
    </xf>
    <xf numFmtId="189" fontId="20" fillId="16" borderId="2" xfId="0" applyNumberFormat="1" applyFont="1" applyFill="1" applyBorder="1" applyAlignment="1">
      <alignment horizontal="center"/>
    </xf>
    <xf numFmtId="187" fontId="20" fillId="16" borderId="38" xfId="0" applyNumberFormat="1" applyFont="1" applyFill="1" applyBorder="1" applyAlignment="1">
      <alignment horizontal="center"/>
    </xf>
    <xf numFmtId="2" fontId="20" fillId="16" borderId="38" xfId="0" applyNumberFormat="1" applyFont="1" applyFill="1" applyBorder="1" applyAlignment="1">
      <alignment horizontal="center"/>
    </xf>
    <xf numFmtId="10" fontId="20" fillId="16" borderId="38" xfId="0" applyNumberFormat="1" applyFont="1" applyFill="1" applyBorder="1" applyAlignment="1">
      <alignment horizontal="center"/>
    </xf>
    <xf numFmtId="0" fontId="20" fillId="16" borderId="3" xfId="0" applyFont="1" applyFill="1" applyBorder="1" applyAlignment="1"/>
    <xf numFmtId="2" fontId="20" fillId="16" borderId="15" xfId="0" applyNumberFormat="1" applyFont="1" applyFill="1" applyBorder="1"/>
    <xf numFmtId="0" fontId="20" fillId="16" borderId="15" xfId="0" applyFont="1" applyFill="1" applyBorder="1"/>
    <xf numFmtId="0" fontId="55" fillId="16" borderId="0" xfId="0" applyFont="1" applyFill="1" applyBorder="1" applyAlignment="1">
      <alignment horizontal="center"/>
    </xf>
    <xf numFmtId="187" fontId="55" fillId="16" borderId="0" xfId="0" applyNumberFormat="1" applyFont="1" applyFill="1" applyBorder="1" applyAlignment="1">
      <alignment horizontal="center"/>
    </xf>
    <xf numFmtId="0" fontId="55" fillId="16" borderId="0" xfId="1" applyNumberFormat="1" applyFont="1" applyFill="1" applyBorder="1" applyAlignment="1">
      <alignment horizontal="center"/>
    </xf>
    <xf numFmtId="194" fontId="53" fillId="16" borderId="0" xfId="0" applyNumberFormat="1" applyFont="1" applyFill="1" applyBorder="1" applyAlignment="1">
      <alignment horizontal="center"/>
    </xf>
    <xf numFmtId="195" fontId="53" fillId="16" borderId="0" xfId="0" applyNumberFormat="1" applyFont="1" applyFill="1" applyBorder="1" applyAlignment="1">
      <alignment horizontal="center"/>
    </xf>
    <xf numFmtId="218" fontId="55" fillId="16" borderId="0" xfId="0" applyNumberFormat="1" applyFont="1" applyFill="1" applyBorder="1" applyAlignment="1">
      <alignment horizontal="center"/>
    </xf>
    <xf numFmtId="181" fontId="55" fillId="16" borderId="0" xfId="0" applyNumberFormat="1" applyFont="1" applyFill="1" applyBorder="1" applyAlignment="1">
      <alignment horizontal="center"/>
    </xf>
    <xf numFmtId="185" fontId="55" fillId="16" borderId="0" xfId="0" applyNumberFormat="1" applyFont="1" applyFill="1" applyBorder="1" applyAlignment="1">
      <alignment horizontal="center"/>
    </xf>
    <xf numFmtId="181" fontId="55" fillId="16" borderId="2" xfId="0" applyNumberFormat="1" applyFont="1" applyFill="1" applyBorder="1" applyAlignment="1">
      <alignment horizontal="center"/>
    </xf>
    <xf numFmtId="194" fontId="55" fillId="16" borderId="0" xfId="0" applyNumberFormat="1" applyFont="1" applyFill="1" applyBorder="1" applyAlignment="1">
      <alignment horizontal="center"/>
    </xf>
    <xf numFmtId="194" fontId="55" fillId="16" borderId="2" xfId="0" applyNumberFormat="1" applyFont="1" applyFill="1" applyBorder="1" applyAlignment="1">
      <alignment horizontal="center"/>
    </xf>
    <xf numFmtId="195" fontId="55" fillId="16" borderId="0" xfId="0" applyNumberFormat="1" applyFont="1" applyFill="1" applyBorder="1" applyAlignment="1">
      <alignment horizontal="center"/>
    </xf>
    <xf numFmtId="195" fontId="55" fillId="16" borderId="2" xfId="0" applyNumberFormat="1" applyFont="1" applyFill="1" applyBorder="1" applyAlignment="1">
      <alignment horizontal="center"/>
    </xf>
    <xf numFmtId="43" fontId="20" fillId="16" borderId="7" xfId="0" applyNumberFormat="1" applyFont="1" applyFill="1" applyBorder="1" applyAlignment="1">
      <alignment horizontal="right" wrapText="1"/>
    </xf>
    <xf numFmtId="10" fontId="20" fillId="16" borderId="0" xfId="0" applyNumberFormat="1" applyFont="1" applyFill="1" applyBorder="1" applyAlignment="1">
      <alignment horizontal="right"/>
    </xf>
    <xf numFmtId="10" fontId="20" fillId="16" borderId="0" xfId="0" applyNumberFormat="1" applyFont="1" applyFill="1" applyBorder="1" applyAlignment="1">
      <alignment horizontal="left"/>
    </xf>
    <xf numFmtId="165" fontId="20" fillId="16" borderId="0" xfId="0" applyNumberFormat="1" applyFont="1" applyFill="1" applyBorder="1" applyAlignment="1">
      <alignment horizontal="right"/>
    </xf>
    <xf numFmtId="0" fontId="23" fillId="16" borderId="0" xfId="0" applyFont="1" applyFill="1" applyBorder="1" applyAlignment="1">
      <alignment horizontal="right" wrapText="1"/>
    </xf>
    <xf numFmtId="43" fontId="20" fillId="16" borderId="0" xfId="0" applyNumberFormat="1" applyFont="1" applyFill="1" applyBorder="1" applyAlignment="1">
      <alignment horizontal="right"/>
    </xf>
    <xf numFmtId="0" fontId="24" fillId="2" borderId="3" xfId="0" applyFont="1" applyFill="1" applyBorder="1"/>
    <xf numFmtId="0" fontId="53" fillId="16" borderId="9" xfId="0" applyFont="1" applyFill="1" applyBorder="1" applyAlignment="1">
      <alignment horizontal="left"/>
    </xf>
    <xf numFmtId="10" fontId="23" fillId="16" borderId="9" xfId="0" applyNumberFormat="1" applyFont="1" applyFill="1" applyBorder="1" applyAlignment="1">
      <alignment horizontal="right"/>
    </xf>
    <xf numFmtId="0" fontId="23" fillId="16" borderId="28" xfId="0" applyFont="1" applyFill="1" applyBorder="1" applyAlignment="1">
      <alignment horizontal="right"/>
    </xf>
    <xf numFmtId="3" fontId="20" fillId="16" borderId="1" xfId="0" applyNumberFormat="1" applyFont="1" applyFill="1" applyBorder="1" applyAlignment="1">
      <alignment horizontal="right"/>
    </xf>
    <xf numFmtId="187" fontId="20" fillId="16" borderId="38" xfId="0" applyNumberFormat="1" applyFont="1" applyFill="1" applyBorder="1"/>
    <xf numFmtId="0" fontId="20" fillId="16" borderId="9" xfId="0" applyFont="1" applyFill="1" applyBorder="1" applyAlignment="1">
      <alignment horizontal="right"/>
    </xf>
    <xf numFmtId="165" fontId="20" fillId="16" borderId="1" xfId="0" applyNumberFormat="1" applyFont="1" applyFill="1" applyBorder="1" applyAlignment="1">
      <alignment horizontal="right"/>
    </xf>
    <xf numFmtId="43" fontId="20" fillId="16" borderId="38" xfId="0" applyNumberFormat="1" applyFont="1" applyFill="1" applyBorder="1"/>
    <xf numFmtId="10" fontId="20" fillId="16" borderId="3" xfId="0" applyNumberFormat="1" applyFont="1" applyFill="1" applyBorder="1"/>
    <xf numFmtId="187" fontId="20" fillId="16" borderId="15" xfId="0" applyNumberFormat="1" applyFont="1" applyFill="1" applyBorder="1" applyAlignment="1">
      <alignment horizontal="right"/>
    </xf>
    <xf numFmtId="0" fontId="55" fillId="17" borderId="1" xfId="5" applyFont="1" applyFill="1" applyBorder="1" applyAlignment="1"/>
    <xf numFmtId="195" fontId="55" fillId="16" borderId="7" xfId="0" applyNumberFormat="1" applyFont="1" applyFill="1" applyBorder="1" applyAlignment="1">
      <alignment horizontal="center"/>
    </xf>
    <xf numFmtId="213" fontId="55" fillId="16" borderId="7" xfId="0" applyNumberFormat="1" applyFont="1" applyFill="1" applyBorder="1" applyAlignment="1">
      <alignment horizontal="center"/>
    </xf>
    <xf numFmtId="212" fontId="55" fillId="17" borderId="0" xfId="0" applyNumberFormat="1" applyFont="1" applyFill="1" applyBorder="1" applyAlignment="1">
      <alignment horizontal="center"/>
    </xf>
    <xf numFmtId="168" fontId="63" fillId="16" borderId="0" xfId="7" applyNumberFormat="1" applyFont="1" applyFill="1" applyBorder="1" applyAlignment="1">
      <alignment horizontal="left"/>
    </xf>
    <xf numFmtId="220" fontId="55" fillId="17" borderId="0" xfId="0" applyNumberFormat="1" applyFont="1" applyFill="1" applyBorder="1" applyAlignment="1">
      <alignment horizontal="center"/>
    </xf>
    <xf numFmtId="185" fontId="55" fillId="12" borderId="0" xfId="0" applyNumberFormat="1" applyFont="1" applyFill="1" applyBorder="1" applyAlignment="1">
      <alignment horizontal="center"/>
    </xf>
    <xf numFmtId="185" fontId="55" fillId="17" borderId="0" xfId="0" applyNumberFormat="1" applyFont="1" applyFill="1" applyBorder="1" applyAlignment="1">
      <alignment horizontal="center"/>
    </xf>
    <xf numFmtId="185" fontId="55" fillId="18" borderId="0" xfId="0" applyNumberFormat="1" applyFont="1" applyFill="1" applyBorder="1" applyAlignment="1">
      <alignment horizontal="center"/>
    </xf>
    <xf numFmtId="181" fontId="55" fillId="18" borderId="0" xfId="0" applyNumberFormat="1" applyFont="1" applyFill="1" applyBorder="1" applyAlignment="1">
      <alignment horizontal="center"/>
    </xf>
    <xf numFmtId="201" fontId="55" fillId="2" borderId="0" xfId="0" applyNumberFormat="1" applyFont="1" applyFill="1" applyBorder="1" applyAlignment="1">
      <alignment horizontal="center"/>
    </xf>
    <xf numFmtId="187" fontId="20" fillId="18" borderId="14" xfId="0" applyNumberFormat="1" applyFont="1" applyFill="1" applyBorder="1" applyAlignment="1">
      <alignment horizontal="left" vertical="top"/>
    </xf>
    <xf numFmtId="4" fontId="20" fillId="2" borderId="14" xfId="1" applyNumberFormat="1" applyFont="1" applyFill="1" applyBorder="1" applyAlignment="1">
      <alignment horizontal="left" vertical="top"/>
    </xf>
    <xf numFmtId="194" fontId="55" fillId="12" borderId="0" xfId="0" applyNumberFormat="1" applyFont="1" applyFill="1" applyBorder="1" applyAlignment="1">
      <alignment horizontal="center"/>
    </xf>
    <xf numFmtId="194" fontId="55" fillId="12" borderId="2" xfId="0" applyNumberFormat="1" applyFont="1" applyFill="1" applyBorder="1" applyAlignment="1">
      <alignment horizontal="center"/>
    </xf>
    <xf numFmtId="212" fontId="55" fillId="12" borderId="0" xfId="0" applyNumberFormat="1" applyFont="1" applyFill="1" applyBorder="1" applyAlignment="1">
      <alignment horizontal="center"/>
    </xf>
    <xf numFmtId="212" fontId="55" fillId="16" borderId="0" xfId="0" applyNumberFormat="1" applyFont="1" applyFill="1" applyBorder="1" applyAlignment="1">
      <alignment horizontal="center"/>
    </xf>
    <xf numFmtId="0" fontId="20" fillId="16" borderId="0" xfId="0" applyFont="1" applyFill="1" applyBorder="1" applyAlignment="1">
      <alignment vertical="top" wrapText="1"/>
    </xf>
    <xf numFmtId="0" fontId="20" fillId="16" borderId="0" xfId="0" applyFont="1" applyFill="1" applyBorder="1" applyAlignment="1">
      <alignment vertical="top"/>
    </xf>
    <xf numFmtId="0" fontId="20" fillId="16" borderId="1" xfId="5" applyFont="1" applyFill="1" applyBorder="1" applyAlignment="1">
      <alignment horizontal="left"/>
    </xf>
    <xf numFmtId="0" fontId="20" fillId="16" borderId="0" xfId="5" applyFont="1" applyFill="1" applyBorder="1" applyAlignment="1">
      <alignment horizontal="left"/>
    </xf>
    <xf numFmtId="3" fontId="20" fillId="16" borderId="0" xfId="0" applyNumberFormat="1" applyFont="1" applyFill="1" applyBorder="1" applyAlignment="1"/>
    <xf numFmtId="213" fontId="19" fillId="16" borderId="2" xfId="0" applyNumberFormat="1" applyFont="1" applyFill="1" applyBorder="1" applyAlignment="1">
      <alignment horizontal="center"/>
    </xf>
    <xf numFmtId="187" fontId="20" fillId="2" borderId="0" xfId="0" applyNumberFormat="1" applyFont="1" applyFill="1"/>
    <xf numFmtId="187" fontId="20" fillId="19" borderId="0" xfId="0" applyNumberFormat="1" applyFont="1" applyFill="1" applyBorder="1" applyAlignment="1">
      <alignment horizontal="right"/>
    </xf>
    <xf numFmtId="43" fontId="20" fillId="19" borderId="0" xfId="0" applyNumberFormat="1" applyFont="1" applyFill="1" applyBorder="1" applyAlignment="1">
      <alignment horizontal="right"/>
    </xf>
    <xf numFmtId="43" fontId="20" fillId="19" borderId="0" xfId="0" applyNumberFormat="1" applyFont="1" applyFill="1" applyBorder="1"/>
    <xf numFmtId="43" fontId="20" fillId="19" borderId="0" xfId="1" applyFont="1" applyFill="1" applyBorder="1" applyAlignment="1">
      <alignment vertical="top" wrapText="1"/>
    </xf>
    <xf numFmtId="0" fontId="20" fillId="15" borderId="0" xfId="0" applyFont="1" applyFill="1" applyBorder="1" applyAlignment="1">
      <alignment horizontal="center"/>
    </xf>
    <xf numFmtId="187" fontId="20" fillId="15" borderId="0" xfId="0" applyNumberFormat="1" applyFont="1" applyFill="1" applyBorder="1" applyAlignment="1">
      <alignment horizontal="center"/>
    </xf>
    <xf numFmtId="187" fontId="20" fillId="15" borderId="2" xfId="0" applyNumberFormat="1" applyFont="1" applyFill="1" applyBorder="1" applyAlignment="1">
      <alignment horizontal="center"/>
    </xf>
    <xf numFmtId="0" fontId="20" fillId="15" borderId="0" xfId="0" quotePrefix="1" applyFont="1" applyFill="1" applyBorder="1" applyAlignment="1">
      <alignment horizontal="center"/>
    </xf>
    <xf numFmtId="0" fontId="20" fillId="15" borderId="0" xfId="1" quotePrefix="1" applyNumberFormat="1" applyFont="1" applyFill="1" applyBorder="1" applyAlignment="1">
      <alignment horizontal="center"/>
    </xf>
    <xf numFmtId="0" fontId="20" fillId="15" borderId="2" xfId="0" quotePrefix="1" applyFont="1" applyFill="1" applyBorder="1" applyAlignment="1">
      <alignment horizontal="center"/>
    </xf>
    <xf numFmtId="191" fontId="20" fillId="15" borderId="0" xfId="0" applyNumberFormat="1" applyFont="1" applyFill="1" applyBorder="1" applyAlignment="1">
      <alignment horizontal="center"/>
    </xf>
    <xf numFmtId="191" fontId="20" fillId="15" borderId="2" xfId="0" applyNumberFormat="1" applyFont="1" applyFill="1" applyBorder="1" applyAlignment="1">
      <alignment horizontal="center"/>
    </xf>
    <xf numFmtId="195" fontId="20" fillId="15" borderId="0" xfId="0" applyNumberFormat="1" applyFont="1" applyFill="1" applyBorder="1" applyAlignment="1">
      <alignment horizontal="center"/>
    </xf>
    <xf numFmtId="196" fontId="20" fillId="15" borderId="0" xfId="0" applyNumberFormat="1" applyFont="1" applyFill="1" applyBorder="1" applyAlignment="1">
      <alignment horizontal="center"/>
    </xf>
    <xf numFmtId="195" fontId="20" fillId="15" borderId="2" xfId="0" applyNumberFormat="1" applyFont="1" applyFill="1" applyBorder="1" applyAlignment="1">
      <alignment horizontal="center"/>
    </xf>
    <xf numFmtId="195" fontId="20" fillId="15" borderId="0" xfId="0" quotePrefix="1" applyNumberFormat="1" applyFont="1" applyFill="1" applyBorder="1" applyAlignment="1">
      <alignment horizontal="center"/>
    </xf>
    <xf numFmtId="192" fontId="20" fillId="15" borderId="0" xfId="0" applyNumberFormat="1" applyFont="1" applyFill="1" applyBorder="1" applyAlignment="1">
      <alignment horizontal="center"/>
    </xf>
    <xf numFmtId="192" fontId="20" fillId="15" borderId="2" xfId="0" applyNumberFormat="1" applyFont="1" applyFill="1" applyBorder="1" applyAlignment="1">
      <alignment horizontal="center"/>
    </xf>
    <xf numFmtId="196" fontId="20" fillId="15" borderId="2" xfId="0" applyNumberFormat="1" applyFont="1" applyFill="1" applyBorder="1" applyAlignment="1">
      <alignment horizontal="center"/>
    </xf>
    <xf numFmtId="0" fontId="20" fillId="15" borderId="0" xfId="0" applyFont="1" applyFill="1" applyBorder="1" applyAlignment="1">
      <alignment horizontal="center" wrapText="1"/>
    </xf>
    <xf numFmtId="0" fontId="20" fillId="15" borderId="2" xfId="0" applyFont="1" applyFill="1" applyBorder="1" applyAlignment="1">
      <alignment horizontal="center" wrapText="1"/>
    </xf>
    <xf numFmtId="168" fontId="20" fillId="15" borderId="0" xfId="7" applyNumberFormat="1" applyFont="1" applyFill="1" applyBorder="1" applyAlignment="1">
      <alignment horizontal="center"/>
    </xf>
    <xf numFmtId="168" fontId="20" fillId="15" borderId="2" xfId="7" applyNumberFormat="1" applyFont="1" applyFill="1" applyBorder="1" applyAlignment="1">
      <alignment horizontal="center"/>
    </xf>
    <xf numFmtId="186" fontId="20" fillId="15" borderId="0" xfId="0" applyNumberFormat="1" applyFont="1" applyFill="1" applyBorder="1" applyAlignment="1">
      <alignment horizontal="center"/>
    </xf>
    <xf numFmtId="186" fontId="20" fillId="15" borderId="2" xfId="0" applyNumberFormat="1" applyFont="1" applyFill="1" applyBorder="1" applyAlignment="1">
      <alignment horizontal="center"/>
    </xf>
    <xf numFmtId="186" fontId="20" fillId="15" borderId="5" xfId="0" applyNumberFormat="1" applyFont="1" applyFill="1" applyBorder="1" applyAlignment="1">
      <alignment horizontal="center"/>
    </xf>
    <xf numFmtId="0" fontId="20" fillId="15" borderId="10" xfId="0" applyFont="1" applyFill="1" applyBorder="1" applyAlignment="1">
      <alignment horizontal="center"/>
    </xf>
    <xf numFmtId="187" fontId="20" fillId="15" borderId="10" xfId="0" applyNumberFormat="1" applyFont="1" applyFill="1" applyBorder="1" applyAlignment="1">
      <alignment horizontal="center"/>
    </xf>
    <xf numFmtId="0" fontId="20" fillId="15" borderId="11" xfId="0" applyFont="1" applyFill="1" applyBorder="1" applyAlignment="1">
      <alignment horizontal="center"/>
    </xf>
    <xf numFmtId="0" fontId="20" fillId="15" borderId="2" xfId="0" applyFont="1" applyFill="1" applyBorder="1" applyAlignment="1">
      <alignment horizontal="center"/>
    </xf>
    <xf numFmtId="213" fontId="20" fillId="15" borderId="0" xfId="0" applyNumberFormat="1" applyFont="1" applyFill="1" applyBorder="1" applyAlignment="1">
      <alignment horizontal="center"/>
    </xf>
    <xf numFmtId="10" fontId="20" fillId="15" borderId="0" xfId="0" applyNumberFormat="1" applyFont="1" applyFill="1" applyBorder="1" applyAlignment="1">
      <alignment horizontal="center"/>
    </xf>
    <xf numFmtId="0" fontId="20" fillId="15" borderId="4" xfId="0" applyFont="1" applyFill="1" applyBorder="1" applyAlignment="1">
      <alignment horizontal="center"/>
    </xf>
    <xf numFmtId="187" fontId="20" fillId="15" borderId="4" xfId="0" applyNumberFormat="1" applyFont="1" applyFill="1" applyBorder="1" applyAlignment="1">
      <alignment horizontal="center"/>
    </xf>
    <xf numFmtId="0" fontId="20" fillId="15" borderId="4" xfId="0" applyFont="1" applyFill="1" applyBorder="1"/>
    <xf numFmtId="0" fontId="20" fillId="15" borderId="5" xfId="0" applyFont="1" applyFill="1" applyBorder="1" applyAlignment="1">
      <alignment horizontal="center"/>
    </xf>
    <xf numFmtId="3" fontId="53" fillId="15" borderId="14" xfId="0" applyNumberFormat="1" applyFont="1" applyFill="1" applyBorder="1" applyAlignment="1">
      <alignment vertical="top"/>
    </xf>
    <xf numFmtId="187" fontId="23" fillId="15" borderId="14" xfId="0" applyNumberFormat="1" applyFont="1" applyFill="1" applyBorder="1" applyAlignment="1">
      <alignment horizontal="right" vertical="top"/>
    </xf>
    <xf numFmtId="187" fontId="23" fillId="15" borderId="16" xfId="0" applyNumberFormat="1" applyFont="1" applyFill="1" applyBorder="1" applyAlignment="1">
      <alignment horizontal="right" vertical="top"/>
    </xf>
    <xf numFmtId="165" fontId="23" fillId="15" borderId="14" xfId="1" applyNumberFormat="1" applyFont="1" applyFill="1" applyBorder="1" applyAlignment="1">
      <alignment horizontal="right" vertical="top" wrapText="1"/>
    </xf>
    <xf numFmtId="10" fontId="24" fillId="15" borderId="28" xfId="0" applyNumberFormat="1" applyFont="1" applyFill="1" applyBorder="1" applyAlignment="1">
      <alignment vertical="top" wrapText="1"/>
    </xf>
    <xf numFmtId="187" fontId="23" fillId="15" borderId="38" xfId="0" applyNumberFormat="1" applyFont="1" applyFill="1" applyBorder="1" applyAlignment="1">
      <alignment horizontal="right" vertical="top"/>
    </xf>
    <xf numFmtId="187" fontId="23" fillId="15" borderId="11" xfId="0" applyNumberFormat="1" applyFont="1" applyFill="1" applyBorder="1" applyAlignment="1">
      <alignment horizontal="right" vertical="top"/>
    </xf>
    <xf numFmtId="165" fontId="23" fillId="15" borderId="28" xfId="1" applyNumberFormat="1" applyFont="1" applyFill="1" applyBorder="1" applyAlignment="1">
      <alignment horizontal="right" vertical="top" wrapText="1"/>
    </xf>
    <xf numFmtId="10" fontId="24" fillId="15" borderId="38" xfId="0" applyNumberFormat="1" applyFont="1" applyFill="1" applyBorder="1" applyAlignment="1">
      <alignment vertical="top" wrapText="1"/>
    </xf>
    <xf numFmtId="187" fontId="23" fillId="15" borderId="2" xfId="0" applyNumberFormat="1" applyFont="1" applyFill="1" applyBorder="1" applyAlignment="1">
      <alignment horizontal="right" vertical="top"/>
    </xf>
    <xf numFmtId="165" fontId="23" fillId="15" borderId="38" xfId="1" applyNumberFormat="1" applyFont="1" applyFill="1" applyBorder="1" applyAlignment="1">
      <alignment horizontal="right" vertical="top" wrapText="1"/>
    </xf>
    <xf numFmtId="10" fontId="20" fillId="15" borderId="38" xfId="0" applyNumberFormat="1" applyFont="1" applyFill="1" applyBorder="1" applyAlignment="1"/>
    <xf numFmtId="165" fontId="20" fillId="15" borderId="38" xfId="1" applyNumberFormat="1" applyFont="1" applyFill="1" applyBorder="1" applyAlignment="1">
      <alignment horizontal="center"/>
    </xf>
    <xf numFmtId="165" fontId="20" fillId="15" borderId="38" xfId="1" applyNumberFormat="1" applyFont="1" applyFill="1" applyBorder="1" applyAlignment="1">
      <alignment horizontal="right"/>
    </xf>
    <xf numFmtId="10" fontId="23" fillId="15" borderId="38" xfId="0" applyNumberFormat="1" applyFont="1" applyFill="1" applyBorder="1" applyAlignment="1"/>
    <xf numFmtId="187" fontId="20" fillId="15" borderId="38" xfId="0" applyNumberFormat="1" applyFont="1" applyFill="1" applyBorder="1" applyAlignment="1">
      <alignment horizontal="right"/>
    </xf>
    <xf numFmtId="10" fontId="20" fillId="15" borderId="38" xfId="0" applyNumberFormat="1" applyFont="1" applyFill="1" applyBorder="1"/>
    <xf numFmtId="217" fontId="20" fillId="15" borderId="38" xfId="0" applyNumberFormat="1" applyFont="1" applyFill="1" applyBorder="1" applyAlignment="1">
      <alignment horizontal="right"/>
    </xf>
    <xf numFmtId="168" fontId="20" fillId="15" borderId="38" xfId="7" applyNumberFormat="1" applyFont="1" applyFill="1" applyBorder="1" applyAlignment="1">
      <alignment horizontal="right"/>
    </xf>
    <xf numFmtId="165" fontId="37" fillId="15" borderId="38" xfId="1" applyNumberFormat="1" applyFont="1" applyFill="1" applyBorder="1" applyAlignment="1">
      <alignment horizontal="right"/>
    </xf>
    <xf numFmtId="0" fontId="20" fillId="15" borderId="38" xfId="0" applyFont="1" applyFill="1" applyBorder="1" applyAlignment="1">
      <alignment horizontal="right" wrapText="1"/>
    </xf>
    <xf numFmtId="165" fontId="23" fillId="15" borderId="38" xfId="0" applyNumberFormat="1" applyFont="1" applyFill="1" applyBorder="1" applyAlignment="1">
      <alignment horizontal="right" wrapText="1"/>
    </xf>
    <xf numFmtId="10" fontId="20" fillId="15" borderId="15" xfId="0" applyNumberFormat="1" applyFont="1" applyFill="1" applyBorder="1" applyAlignment="1"/>
    <xf numFmtId="217" fontId="20" fillId="15" borderId="15" xfId="0" applyNumberFormat="1" applyFont="1" applyFill="1" applyBorder="1" applyAlignment="1">
      <alignment horizontal="right"/>
    </xf>
    <xf numFmtId="217" fontId="20" fillId="15" borderId="5" xfId="0" applyNumberFormat="1" applyFont="1" applyFill="1" applyBorder="1" applyAlignment="1">
      <alignment horizontal="right"/>
    </xf>
    <xf numFmtId="0" fontId="23" fillId="15" borderId="0" xfId="0" applyFont="1" applyFill="1" applyAlignment="1"/>
    <xf numFmtId="187" fontId="20" fillId="15" borderId="0" xfId="0" applyNumberFormat="1" applyFont="1" applyFill="1" applyAlignment="1">
      <alignment horizontal="right"/>
    </xf>
    <xf numFmtId="10" fontId="20" fillId="15" borderId="0" xfId="0" applyNumberFormat="1" applyFont="1" applyFill="1"/>
    <xf numFmtId="0" fontId="20" fillId="15" borderId="0" xfId="0" applyFont="1" applyFill="1"/>
    <xf numFmtId="0" fontId="20" fillId="15" borderId="0" xfId="0" applyFont="1" applyFill="1" applyAlignment="1">
      <alignment horizontal="right"/>
    </xf>
    <xf numFmtId="0" fontId="20" fillId="15" borderId="0" xfId="0" applyFont="1" applyFill="1" applyAlignment="1">
      <alignment horizontal="center"/>
    </xf>
    <xf numFmtId="0" fontId="20" fillId="15" borderId="0" xfId="0" applyFont="1" applyFill="1" applyBorder="1"/>
    <xf numFmtId="0" fontId="54" fillId="15" borderId="0" xfId="0" applyFont="1" applyFill="1" applyBorder="1" applyAlignment="1"/>
    <xf numFmtId="0" fontId="53" fillId="15" borderId="0" xfId="0" applyFont="1" applyFill="1" applyAlignment="1">
      <alignment horizontal="center"/>
    </xf>
    <xf numFmtId="10" fontId="24" fillId="15" borderId="0" xfId="0" applyNumberFormat="1" applyFont="1" applyFill="1"/>
    <xf numFmtId="0" fontId="25" fillId="15" borderId="0" xfId="0" applyFont="1" applyFill="1" applyAlignment="1">
      <alignment horizontal="right" wrapText="1"/>
    </xf>
    <xf numFmtId="187" fontId="25" fillId="15" borderId="0" xfId="0" applyNumberFormat="1" applyFont="1" applyFill="1" applyAlignment="1">
      <alignment horizontal="right" wrapText="1"/>
    </xf>
    <xf numFmtId="10" fontId="25" fillId="15" borderId="0" xfId="0" applyNumberFormat="1" applyFont="1" applyFill="1" applyAlignment="1">
      <alignment horizontal="right" wrapText="1"/>
    </xf>
    <xf numFmtId="0" fontId="20" fillId="15" borderId="0" xfId="0" applyFont="1" applyFill="1" applyAlignment="1">
      <alignment horizontal="right" wrapText="1"/>
    </xf>
    <xf numFmtId="0" fontId="25" fillId="15" borderId="0" xfId="0" applyFont="1" applyFill="1" applyAlignment="1">
      <alignment horizontal="right"/>
    </xf>
    <xf numFmtId="49" fontId="20" fillId="15" borderId="0" xfId="0" applyNumberFormat="1" applyFont="1" applyFill="1" applyAlignment="1">
      <alignment horizontal="right"/>
    </xf>
    <xf numFmtId="43" fontId="20" fillId="15" borderId="0" xfId="1" applyFont="1" applyFill="1" applyAlignment="1">
      <alignment horizontal="right"/>
    </xf>
    <xf numFmtId="10" fontId="20" fillId="15" borderId="0" xfId="0" applyNumberFormat="1" applyFont="1" applyFill="1" applyAlignment="1">
      <alignment horizontal="right"/>
    </xf>
    <xf numFmtId="189" fontId="20" fillId="15" borderId="0" xfId="0" applyNumberFormat="1" applyFont="1" applyFill="1" applyAlignment="1">
      <alignment horizontal="right"/>
    </xf>
    <xf numFmtId="49" fontId="23" fillId="15" borderId="0" xfId="0" applyNumberFormat="1" applyFont="1" applyFill="1" applyAlignment="1">
      <alignment horizontal="right"/>
    </xf>
    <xf numFmtId="43" fontId="20" fillId="15" borderId="7" xfId="1" applyFont="1" applyFill="1" applyBorder="1" applyAlignment="1">
      <alignment horizontal="right"/>
    </xf>
    <xf numFmtId="10" fontId="20" fillId="15" borderId="7" xfId="0" applyNumberFormat="1" applyFont="1" applyFill="1" applyBorder="1" applyAlignment="1">
      <alignment horizontal="right"/>
    </xf>
    <xf numFmtId="189" fontId="20" fillId="15" borderId="7" xfId="0" applyNumberFormat="1" applyFont="1" applyFill="1" applyBorder="1" applyAlignment="1">
      <alignment horizontal="right"/>
    </xf>
    <xf numFmtId="0" fontId="23" fillId="15" borderId="0" xfId="0" applyFont="1" applyFill="1" applyAlignment="1">
      <alignment horizontal="right"/>
    </xf>
    <xf numFmtId="187" fontId="20" fillId="15" borderId="7" xfId="0" applyNumberFormat="1" applyFont="1" applyFill="1" applyBorder="1" applyAlignment="1">
      <alignment horizontal="right"/>
    </xf>
    <xf numFmtId="187" fontId="20" fillId="15" borderId="0" xfId="0" applyNumberFormat="1" applyFont="1" applyFill="1" applyBorder="1" applyAlignment="1">
      <alignment horizontal="right"/>
    </xf>
    <xf numFmtId="10" fontId="20" fillId="15" borderId="0" xfId="0" applyNumberFormat="1" applyFont="1" applyFill="1" applyBorder="1" applyAlignment="1">
      <alignment horizontal="right"/>
    </xf>
    <xf numFmtId="189" fontId="20" fillId="15" borderId="0" xfId="0" applyNumberFormat="1" applyFont="1" applyFill="1" applyBorder="1" applyAlignment="1">
      <alignment horizontal="right"/>
    </xf>
    <xf numFmtId="10" fontId="20" fillId="15" borderId="0" xfId="0" applyNumberFormat="1" applyFont="1" applyFill="1" applyAlignment="1">
      <alignment horizontal="center"/>
    </xf>
    <xf numFmtId="10" fontId="20" fillId="15" borderId="0" xfId="7" applyNumberFormat="1" applyFont="1" applyFill="1" applyBorder="1" applyAlignment="1">
      <alignment horizontal="right"/>
    </xf>
    <xf numFmtId="10" fontId="20" fillId="15" borderId="0" xfId="0" applyNumberFormat="1" applyFont="1" applyFill="1" applyBorder="1" applyAlignment="1">
      <alignment horizontal="left"/>
    </xf>
    <xf numFmtId="165" fontId="20" fillId="15" borderId="0" xfId="0" applyNumberFormat="1" applyFont="1" applyFill="1" applyBorder="1" applyAlignment="1">
      <alignment horizontal="right"/>
    </xf>
    <xf numFmtId="6" fontId="25" fillId="15" borderId="0" xfId="0" applyNumberFormat="1" applyFont="1" applyFill="1" applyAlignment="1">
      <alignment horizontal="right"/>
    </xf>
    <xf numFmtId="10" fontId="20" fillId="15" borderId="0" xfId="7" applyNumberFormat="1" applyFont="1" applyFill="1" applyAlignment="1">
      <alignment horizontal="right"/>
    </xf>
    <xf numFmtId="43" fontId="20" fillId="15" borderId="0" xfId="0" applyNumberFormat="1" applyFont="1" applyFill="1" applyAlignment="1">
      <alignment horizontal="right"/>
    </xf>
    <xf numFmtId="0" fontId="23" fillId="15" borderId="0" xfId="0" applyFont="1" applyFill="1" applyBorder="1" applyAlignment="1">
      <alignment horizontal="right" wrapText="1"/>
    </xf>
    <xf numFmtId="0" fontId="25" fillId="15" borderId="0" xfId="0" applyFont="1" applyFill="1" applyBorder="1" applyAlignment="1">
      <alignment horizontal="right" wrapText="1"/>
    </xf>
    <xf numFmtId="0" fontId="20" fillId="15" borderId="0" xfId="0" applyFont="1" applyFill="1" applyBorder="1" applyAlignment="1">
      <alignment horizontal="right" wrapText="1"/>
    </xf>
    <xf numFmtId="187" fontId="23" fillId="15" borderId="0" xfId="0" applyNumberFormat="1" applyFont="1" applyFill="1" applyAlignment="1">
      <alignment horizontal="right"/>
    </xf>
    <xf numFmtId="0" fontId="53" fillId="15" borderId="0" xfId="0" applyFont="1" applyFill="1" applyAlignment="1">
      <alignment horizontal="left"/>
    </xf>
    <xf numFmtId="0" fontId="20" fillId="15" borderId="0" xfId="0" applyFont="1" applyFill="1" applyAlignment="1">
      <alignment horizontal="center" wrapText="1"/>
    </xf>
    <xf numFmtId="0" fontId="25" fillId="15" borderId="0" xfId="0" applyFont="1" applyFill="1" applyAlignment="1">
      <alignment horizontal="left" wrapText="1"/>
    </xf>
    <xf numFmtId="0" fontId="20" fillId="15" borderId="0" xfId="0" applyFont="1" applyFill="1" applyAlignment="1">
      <alignment wrapText="1"/>
    </xf>
    <xf numFmtId="0" fontId="20" fillId="15" borderId="0" xfId="0" applyFont="1" applyFill="1" applyBorder="1" applyAlignment="1">
      <alignment wrapText="1"/>
    </xf>
    <xf numFmtId="49" fontId="20" fillId="15" borderId="0" xfId="0" applyNumberFormat="1" applyFont="1" applyFill="1" applyAlignment="1">
      <alignment horizontal="right" wrapText="1"/>
    </xf>
    <xf numFmtId="4" fontId="20" fillId="15" borderId="0" xfId="0" applyNumberFormat="1" applyFont="1" applyFill="1" applyAlignment="1">
      <alignment horizontal="right" wrapText="1"/>
    </xf>
    <xf numFmtId="10" fontId="20" fillId="15" borderId="0" xfId="7" applyNumberFormat="1" applyFont="1" applyFill="1" applyAlignment="1">
      <alignment horizontal="right" wrapText="1"/>
    </xf>
    <xf numFmtId="3" fontId="20" fillId="15" borderId="0" xfId="0" applyNumberFormat="1" applyFont="1" applyFill="1" applyAlignment="1">
      <alignment horizontal="right" wrapText="1"/>
    </xf>
    <xf numFmtId="49" fontId="20" fillId="15" borderId="0" xfId="0" applyNumberFormat="1" applyFont="1" applyFill="1"/>
    <xf numFmtId="0" fontId="31" fillId="15" borderId="0" xfId="0" applyFont="1" applyFill="1"/>
    <xf numFmtId="43" fontId="20" fillId="15" borderId="0" xfId="0" applyNumberFormat="1" applyFont="1" applyFill="1" applyBorder="1" applyAlignment="1">
      <alignment horizontal="right"/>
    </xf>
    <xf numFmtId="0" fontId="20" fillId="15" borderId="0" xfId="0" applyFont="1" applyFill="1" applyAlignment="1"/>
    <xf numFmtId="187" fontId="23" fillId="15" borderId="0" xfId="0" applyNumberFormat="1" applyFont="1" applyFill="1" applyBorder="1" applyAlignment="1">
      <alignment horizontal="right" wrapText="1"/>
    </xf>
    <xf numFmtId="10" fontId="23" fillId="15" borderId="0" xfId="0" applyNumberFormat="1" applyFont="1" applyFill="1" applyBorder="1" applyAlignment="1">
      <alignment horizontal="right" wrapText="1"/>
    </xf>
    <xf numFmtId="187" fontId="25" fillId="15" borderId="0" xfId="0" applyNumberFormat="1" applyFont="1" applyFill="1" applyBorder="1" applyAlignment="1">
      <alignment horizontal="right"/>
    </xf>
    <xf numFmtId="6" fontId="25" fillId="15" borderId="0" xfId="0" applyNumberFormat="1" applyFont="1" applyFill="1" applyBorder="1" applyAlignment="1">
      <alignment horizontal="right" wrapText="1"/>
    </xf>
    <xf numFmtId="189" fontId="25" fillId="15" borderId="0" xfId="0" applyNumberFormat="1" applyFont="1" applyFill="1" applyAlignment="1">
      <alignment horizontal="right" wrapText="1"/>
    </xf>
    <xf numFmtId="49" fontId="20" fillId="15" borderId="0" xfId="0" applyNumberFormat="1" applyFont="1" applyFill="1" applyBorder="1" applyAlignment="1">
      <alignment horizontal="right"/>
    </xf>
    <xf numFmtId="4" fontId="20" fillId="15" borderId="0" xfId="0" applyNumberFormat="1" applyFont="1" applyFill="1" applyBorder="1" applyAlignment="1">
      <alignment horizontal="right"/>
    </xf>
    <xf numFmtId="0" fontId="23" fillId="15" borderId="0" xfId="0" applyFont="1" applyFill="1"/>
    <xf numFmtId="0" fontId="20" fillId="15" borderId="0" xfId="0" applyFont="1" applyFill="1" applyBorder="1" applyAlignment="1"/>
    <xf numFmtId="0" fontId="25" fillId="15" borderId="0" xfId="0" applyFont="1" applyFill="1" applyBorder="1" applyAlignment="1">
      <alignment horizontal="right"/>
    </xf>
    <xf numFmtId="6" fontId="20" fillId="15" borderId="0" xfId="0" applyNumberFormat="1" applyFont="1" applyFill="1" applyBorder="1" applyAlignment="1"/>
    <xf numFmtId="0" fontId="20" fillId="15" borderId="0" xfId="5" applyFont="1" applyFill="1" applyBorder="1"/>
    <xf numFmtId="0" fontId="20" fillId="15" borderId="0" xfId="5" applyFont="1" applyFill="1"/>
    <xf numFmtId="187" fontId="20" fillId="15" borderId="0" xfId="0" applyNumberFormat="1" applyFont="1" applyFill="1" applyBorder="1" applyAlignment="1">
      <alignment horizontal="right" wrapText="1"/>
    </xf>
    <xf numFmtId="10" fontId="20" fillId="15" borderId="0" xfId="0" applyNumberFormat="1" applyFont="1" applyFill="1" applyBorder="1" applyAlignment="1">
      <alignment horizontal="right" wrapText="1"/>
    </xf>
    <xf numFmtId="189" fontId="20" fillId="15" borderId="0" xfId="0" applyNumberFormat="1" applyFont="1" applyFill="1" applyBorder="1" applyAlignment="1">
      <alignment horizontal="right" wrapText="1"/>
    </xf>
    <xf numFmtId="0" fontId="25" fillId="15" borderId="0" xfId="0" applyFont="1" applyFill="1" applyBorder="1" applyAlignment="1"/>
    <xf numFmtId="0" fontId="20" fillId="15" borderId="0" xfId="0" applyFont="1" applyFill="1" applyBorder="1" applyAlignment="1">
      <alignment horizontal="right"/>
    </xf>
    <xf numFmtId="0" fontId="23" fillId="15" borderId="0" xfId="0" applyFont="1" applyFill="1" applyBorder="1" applyAlignment="1"/>
    <xf numFmtId="0" fontId="25" fillId="15" borderId="0" xfId="0" applyFont="1" applyFill="1" applyBorder="1" applyAlignment="1">
      <alignment wrapText="1"/>
    </xf>
    <xf numFmtId="187" fontId="25" fillId="15" borderId="0" xfId="0" applyNumberFormat="1" applyFont="1" applyFill="1" applyBorder="1" applyAlignment="1">
      <alignment horizontal="right" wrapText="1"/>
    </xf>
    <xf numFmtId="189" fontId="20" fillId="15" borderId="0" xfId="1" applyNumberFormat="1" applyFont="1" applyFill="1" applyAlignment="1">
      <alignment horizontal="right"/>
    </xf>
    <xf numFmtId="189" fontId="20" fillId="15" borderId="7" xfId="1" applyNumberFormat="1" applyFont="1" applyFill="1" applyBorder="1" applyAlignment="1">
      <alignment horizontal="right"/>
    </xf>
    <xf numFmtId="189" fontId="20" fillId="15" borderId="0" xfId="1" applyNumberFormat="1" applyFont="1" applyFill="1" applyBorder="1"/>
    <xf numFmtId="10" fontId="20" fillId="15" borderId="0" xfId="0" applyNumberFormat="1" applyFont="1" applyFill="1" applyBorder="1"/>
    <xf numFmtId="187" fontId="25" fillId="15" borderId="0" xfId="0" applyNumberFormat="1" applyFont="1" applyFill="1" applyAlignment="1">
      <alignment horizontal="right"/>
    </xf>
    <xf numFmtId="4" fontId="20" fillId="15" borderId="0" xfId="7" applyNumberFormat="1" applyFont="1" applyFill="1" applyAlignment="1">
      <alignment horizontal="right"/>
    </xf>
    <xf numFmtId="187" fontId="20" fillId="15" borderId="0" xfId="7" applyNumberFormat="1" applyFont="1" applyFill="1" applyAlignment="1">
      <alignment horizontal="right"/>
    </xf>
    <xf numFmtId="10" fontId="20" fillId="15" borderId="7" xfId="7" applyNumberFormat="1" applyFont="1" applyFill="1" applyBorder="1" applyAlignment="1">
      <alignment horizontal="right"/>
    </xf>
    <xf numFmtId="187" fontId="20" fillId="15" borderId="7" xfId="7" applyNumberFormat="1" applyFont="1" applyFill="1" applyBorder="1" applyAlignment="1">
      <alignment horizontal="right"/>
    </xf>
    <xf numFmtId="187" fontId="20" fillId="15" borderId="0" xfId="1" applyNumberFormat="1" applyFont="1" applyFill="1" applyAlignment="1">
      <alignment horizontal="right"/>
    </xf>
    <xf numFmtId="0" fontId="23" fillId="15" borderId="0" xfId="0" applyFont="1" applyFill="1" applyAlignment="1">
      <alignment horizontal="center" wrapText="1"/>
    </xf>
    <xf numFmtId="43" fontId="20" fillId="15" borderId="7" xfId="0" applyNumberFormat="1" applyFont="1" applyFill="1" applyBorder="1" applyAlignment="1">
      <alignment horizontal="right"/>
    </xf>
    <xf numFmtId="8" fontId="20" fillId="2" borderId="0" xfId="0" applyNumberFormat="1" applyFont="1" applyFill="1" applyBorder="1"/>
    <xf numFmtId="187" fontId="20" fillId="16" borderId="7" xfId="0" applyNumberFormat="1" applyFont="1" applyFill="1" applyBorder="1" applyAlignment="1">
      <alignment horizontal="right"/>
    </xf>
    <xf numFmtId="0" fontId="20" fillId="2" borderId="1" xfId="0" applyFont="1" applyFill="1" applyBorder="1" applyAlignment="1">
      <alignment horizontal="left"/>
    </xf>
    <xf numFmtId="187" fontId="20" fillId="12" borderId="0" xfId="0" applyNumberFormat="1" applyFont="1" applyFill="1" applyBorder="1" applyAlignment="1">
      <alignment horizontal="right"/>
    </xf>
    <xf numFmtId="0" fontId="20" fillId="15" borderId="1" xfId="0" applyFont="1" applyFill="1" applyBorder="1" applyAlignment="1"/>
    <xf numFmtId="0" fontId="20" fillId="15" borderId="15" xfId="0" applyFont="1" applyFill="1" applyBorder="1" applyAlignment="1">
      <alignment horizontal="center" vertical="top"/>
    </xf>
    <xf numFmtId="0" fontId="20" fillId="15" borderId="28" xfId="0" applyFont="1" applyFill="1" applyBorder="1" applyAlignment="1">
      <alignment horizontal="center" vertical="top"/>
    </xf>
    <xf numFmtId="0" fontId="20" fillId="15" borderId="14" xfId="0" applyFont="1" applyFill="1" applyBorder="1" applyAlignment="1">
      <alignment horizontal="center" vertical="top"/>
    </xf>
    <xf numFmtId="0" fontId="20" fillId="2" borderId="1" xfId="0" applyFont="1" applyFill="1" applyBorder="1" applyAlignment="1">
      <alignment horizontal="left"/>
    </xf>
    <xf numFmtId="0" fontId="23" fillId="2" borderId="28" xfId="0" applyFont="1" applyFill="1" applyBorder="1" applyAlignment="1">
      <alignment horizontal="left" vertical="top" wrapText="1"/>
    </xf>
    <xf numFmtId="0" fontId="23" fillId="2" borderId="15" xfId="0" applyFont="1" applyFill="1" applyBorder="1" applyAlignment="1">
      <alignment horizontal="left" vertical="top" wrapText="1"/>
    </xf>
    <xf numFmtId="0" fontId="20" fillId="15" borderId="1" xfId="0" applyFont="1" applyFill="1" applyBorder="1" applyAlignment="1">
      <alignment horizontal="left" vertical="top" wrapText="1"/>
    </xf>
    <xf numFmtId="0" fontId="20" fillId="15" borderId="1" xfId="0" applyFont="1" applyFill="1" applyBorder="1" applyAlignment="1">
      <alignment vertical="top"/>
    </xf>
    <xf numFmtId="0" fontId="20" fillId="16" borderId="1" xfId="5" applyFont="1" applyFill="1" applyBorder="1" applyAlignment="1">
      <alignment horizontal="left"/>
    </xf>
    <xf numFmtId="0" fontId="20" fillId="16" borderId="0" xfId="5" applyFont="1" applyFill="1" applyBorder="1" applyAlignment="1">
      <alignment horizontal="left"/>
    </xf>
    <xf numFmtId="0" fontId="23" fillId="2" borderId="9" xfId="0" applyFont="1" applyFill="1" applyBorder="1" applyAlignment="1">
      <alignment horizontal="left" wrapText="1"/>
    </xf>
    <xf numFmtId="0" fontId="23" fillId="2" borderId="11" xfId="0" applyFont="1" applyFill="1" applyBorder="1" applyAlignment="1">
      <alignment horizontal="left" wrapText="1"/>
    </xf>
    <xf numFmtId="3" fontId="23" fillId="2" borderId="1" xfId="0" applyNumberFormat="1" applyFont="1" applyFill="1" applyBorder="1" applyAlignment="1">
      <alignment horizontal="left" wrapText="1"/>
    </xf>
    <xf numFmtId="3" fontId="23" fillId="2" borderId="0" xfId="0" applyNumberFormat="1" applyFont="1" applyFill="1" applyBorder="1" applyAlignment="1">
      <alignment horizontal="left" wrapText="1"/>
    </xf>
    <xf numFmtId="0" fontId="24" fillId="2" borderId="3" xfId="0" applyNumberFormat="1" applyFont="1" applyFill="1" applyBorder="1" applyAlignment="1">
      <alignment horizontal="left" wrapText="1"/>
    </xf>
    <xf numFmtId="0" fontId="24" fillId="2" borderId="4" xfId="0" applyNumberFormat="1" applyFont="1" applyFill="1" applyBorder="1" applyAlignment="1">
      <alignment horizontal="left" wrapText="1"/>
    </xf>
    <xf numFmtId="0" fontId="26" fillId="16" borderId="0" xfId="0" applyFont="1" applyFill="1" applyBorder="1" applyAlignment="1">
      <alignment horizontal="right" vertical="top" wrapText="1"/>
    </xf>
    <xf numFmtId="3" fontId="23" fillId="2" borderId="17" xfId="0" applyNumberFormat="1" applyFont="1" applyFill="1" applyBorder="1" applyAlignment="1">
      <alignment vertical="top" wrapText="1"/>
    </xf>
    <xf numFmtId="0" fontId="0" fillId="0" borderId="6" xfId="0" applyBorder="1" applyAlignment="1">
      <alignment vertical="top"/>
    </xf>
    <xf numFmtId="0" fontId="0" fillId="0" borderId="16" xfId="0" applyBorder="1" applyAlignment="1">
      <alignment vertical="top"/>
    </xf>
    <xf numFmtId="0" fontId="23" fillId="0" borderId="17" xfId="0" applyFont="1" applyFill="1" applyBorder="1" applyAlignment="1">
      <alignment vertical="top" wrapText="1"/>
    </xf>
    <xf numFmtId="0" fontId="0" fillId="0" borderId="16" xfId="0" applyBorder="1" applyAlignment="1">
      <alignment vertical="top" wrapText="1"/>
    </xf>
    <xf numFmtId="0" fontId="23" fillId="2" borderId="9" xfId="0" applyFont="1" applyFill="1" applyBorder="1" applyAlignment="1">
      <alignment vertical="top" wrapText="1"/>
    </xf>
    <xf numFmtId="0" fontId="0" fillId="0" borderId="11" xfId="0"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5" xfId="0" applyBorder="1" applyAlignment="1">
      <alignment wrapText="1"/>
    </xf>
    <xf numFmtId="0" fontId="20" fillId="16" borderId="1" xfId="0" applyFont="1" applyFill="1" applyBorder="1" applyAlignment="1">
      <alignment vertical="top" wrapText="1"/>
    </xf>
    <xf numFmtId="0" fontId="20" fillId="2" borderId="0" xfId="0" applyFont="1" applyFill="1" applyAlignment="1">
      <alignment vertical="top" wrapText="1"/>
    </xf>
    <xf numFmtId="3" fontId="20" fillId="2" borderId="1" xfId="0" applyNumberFormat="1" applyFont="1" applyFill="1" applyBorder="1" applyAlignment="1">
      <alignment horizontal="left" wrapText="1"/>
    </xf>
    <xf numFmtId="3" fontId="20" fillId="2" borderId="0" xfId="0" applyNumberFormat="1" applyFont="1" applyFill="1" applyBorder="1" applyAlignment="1">
      <alignment horizontal="left" wrapText="1"/>
    </xf>
    <xf numFmtId="0" fontId="20" fillId="2" borderId="1" xfId="0" applyFont="1" applyFill="1" applyBorder="1" applyAlignment="1">
      <alignment horizontal="left"/>
    </xf>
    <xf numFmtId="0" fontId="20" fillId="2" borderId="0" xfId="0" applyFont="1" applyFill="1" applyBorder="1" applyAlignment="1">
      <alignment horizontal="left"/>
    </xf>
    <xf numFmtId="0" fontId="20" fillId="16" borderId="0" xfId="0" applyFont="1" applyFill="1" applyBorder="1" applyAlignment="1">
      <alignment vertical="top" wrapText="1"/>
    </xf>
    <xf numFmtId="0" fontId="20" fillId="2" borderId="2" xfId="0" applyFont="1" applyFill="1" applyBorder="1" applyAlignment="1">
      <alignment vertical="top" wrapText="1"/>
    </xf>
    <xf numFmtId="0" fontId="20" fillId="2" borderId="3" xfId="0" applyFont="1" applyFill="1" applyBorder="1" applyAlignment="1">
      <alignment vertical="top" wrapText="1"/>
    </xf>
    <xf numFmtId="0" fontId="0" fillId="0" borderId="4" xfId="0" applyBorder="1" applyAlignment="1"/>
    <xf numFmtId="0" fontId="0" fillId="0" borderId="5" xfId="0" applyBorder="1" applyAlignment="1"/>
    <xf numFmtId="3" fontId="20" fillId="2" borderId="9" xfId="0" applyNumberFormat="1" applyFont="1" applyFill="1" applyBorder="1" applyAlignment="1">
      <alignment horizontal="left" wrapText="1"/>
    </xf>
    <xf numFmtId="3" fontId="20" fillId="2" borderId="10" xfId="0" applyNumberFormat="1" applyFont="1" applyFill="1" applyBorder="1" applyAlignment="1">
      <alignment horizontal="left" wrapText="1"/>
    </xf>
    <xf numFmtId="3" fontId="20" fillId="2" borderId="17" xfId="0" applyNumberFormat="1" applyFont="1" applyFill="1" applyBorder="1" applyAlignment="1">
      <alignment horizontal="left" vertical="top" wrapText="1"/>
    </xf>
    <xf numFmtId="3" fontId="20" fillId="2" borderId="6" xfId="0" applyNumberFormat="1" applyFont="1" applyFill="1" applyBorder="1" applyAlignment="1">
      <alignment horizontal="left" vertical="top" wrapText="1"/>
    </xf>
    <xf numFmtId="3" fontId="20" fillId="2" borderId="16" xfId="0" applyNumberFormat="1" applyFont="1" applyFill="1" applyBorder="1" applyAlignment="1">
      <alignment horizontal="left" vertical="top"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5" xfId="0" applyFont="1" applyFill="1" applyBorder="1" applyAlignment="1">
      <alignment horizontal="left" wrapText="1"/>
    </xf>
    <xf numFmtId="0" fontId="23" fillId="2" borderId="17" xfId="0" applyNumberFormat="1" applyFont="1" applyFill="1" applyBorder="1" applyAlignment="1">
      <alignment vertical="top" wrapText="1"/>
    </xf>
    <xf numFmtId="0" fontId="41" fillId="0" borderId="6" xfId="0" applyFont="1" applyBorder="1" applyAlignment="1">
      <alignment wrapText="1"/>
    </xf>
    <xf numFmtId="0" fontId="41" fillId="0" borderId="16" xfId="0" applyFont="1" applyBorder="1" applyAlignment="1">
      <alignment wrapText="1"/>
    </xf>
    <xf numFmtId="0" fontId="20" fillId="2" borderId="10" xfId="0" applyFont="1" applyFill="1" applyBorder="1" applyAlignment="1">
      <alignment vertical="top" wrapText="1"/>
    </xf>
    <xf numFmtId="0" fontId="20" fillId="2" borderId="11" xfId="0" applyFont="1" applyFill="1" applyBorder="1" applyAlignment="1">
      <alignment vertical="top" wrapText="1"/>
    </xf>
    <xf numFmtId="0" fontId="20" fillId="2" borderId="4" xfId="0" applyFont="1" applyFill="1" applyBorder="1" applyAlignment="1">
      <alignment vertical="top" wrapText="1"/>
    </xf>
    <xf numFmtId="0" fontId="20" fillId="2" borderId="5" xfId="0" applyFont="1" applyFill="1" applyBorder="1" applyAlignment="1">
      <alignment vertical="top" wrapText="1"/>
    </xf>
    <xf numFmtId="0" fontId="20" fillId="0" borderId="0" xfId="0" applyFont="1" applyAlignment="1"/>
    <xf numFmtId="0" fontId="20" fillId="0" borderId="2" xfId="0" applyFont="1" applyBorder="1" applyAlignment="1"/>
    <xf numFmtId="0" fontId="20" fillId="0" borderId="1" xfId="0" applyFont="1" applyBorder="1" applyAlignment="1"/>
    <xf numFmtId="0" fontId="20" fillId="0" borderId="3" xfId="0" applyFont="1" applyBorder="1" applyAlignment="1"/>
    <xf numFmtId="0" fontId="20" fillId="0" borderId="4" xfId="0" applyFont="1" applyBorder="1" applyAlignment="1"/>
    <xf numFmtId="0" fontId="20" fillId="0" borderId="5" xfId="0" applyFont="1" applyBorder="1" applyAlignment="1"/>
    <xf numFmtId="0" fontId="20" fillId="0" borderId="4" xfId="0" applyFont="1" applyBorder="1" applyAlignment="1">
      <alignment vertical="top"/>
    </xf>
    <xf numFmtId="187" fontId="23" fillId="16" borderId="0" xfId="0" applyNumberFormat="1" applyFont="1" applyFill="1" applyAlignment="1">
      <alignment horizontal="right"/>
    </xf>
    <xf numFmtId="0" fontId="20" fillId="16" borderId="0" xfId="0" applyFont="1" applyFill="1" applyAlignment="1">
      <alignment horizontal="right"/>
    </xf>
    <xf numFmtId="10" fontId="20" fillId="16" borderId="3" xfId="0" applyNumberFormat="1" applyFont="1" applyFill="1" applyBorder="1" applyAlignment="1">
      <alignment horizontal="right"/>
    </xf>
    <xf numFmtId="10" fontId="20" fillId="16" borderId="1" xfId="7" applyNumberFormat="1" applyFont="1" applyFill="1" applyBorder="1" applyAlignment="1">
      <alignment horizontal="right"/>
    </xf>
    <xf numFmtId="10" fontId="20" fillId="16" borderId="2" xfId="0" applyNumberFormat="1" applyFont="1" applyFill="1" applyBorder="1" applyAlignment="1"/>
    <xf numFmtId="0" fontId="20" fillId="2" borderId="9" xfId="0" applyFont="1" applyFill="1" applyBorder="1" applyAlignment="1">
      <alignment vertical="top" wrapText="1"/>
    </xf>
    <xf numFmtId="0" fontId="20" fillId="2" borderId="10" xfId="0" applyFont="1" applyFill="1" applyBorder="1" applyAlignment="1">
      <alignment vertical="top"/>
    </xf>
    <xf numFmtId="0" fontId="20" fillId="2" borderId="11" xfId="0" applyFont="1" applyFill="1" applyBorder="1" applyAlignment="1">
      <alignment vertical="top"/>
    </xf>
    <xf numFmtId="0" fontId="20" fillId="16" borderId="1" xfId="0" applyFont="1" applyFill="1" applyBorder="1" applyAlignment="1">
      <alignment vertical="top"/>
    </xf>
    <xf numFmtId="0" fontId="20" fillId="16" borderId="0" xfId="0" applyFont="1" applyFill="1" applyBorder="1" applyAlignment="1">
      <alignment vertical="top"/>
    </xf>
    <xf numFmtId="0" fontId="20" fillId="2" borderId="2" xfId="0" applyFont="1" applyFill="1" applyBorder="1" applyAlignment="1">
      <alignment vertical="top"/>
    </xf>
    <xf numFmtId="0" fontId="20" fillId="0" borderId="1" xfId="0" applyFont="1" applyBorder="1" applyAlignment="1">
      <alignment vertical="top"/>
    </xf>
    <xf numFmtId="0" fontId="20" fillId="0" borderId="0" xfId="0" applyFont="1" applyBorder="1" applyAlignment="1">
      <alignment vertical="top"/>
    </xf>
    <xf numFmtId="0" fontId="20" fillId="0" borderId="2" xfId="0" applyFont="1" applyBorder="1" applyAlignment="1">
      <alignment vertical="top"/>
    </xf>
    <xf numFmtId="187" fontId="20" fillId="2" borderId="3" xfId="0" applyNumberFormat="1" applyFont="1" applyFill="1" applyBorder="1" applyAlignment="1">
      <alignment horizontal="left" vertical="top" wrapText="1"/>
    </xf>
    <xf numFmtId="0" fontId="20" fillId="0" borderId="4" xfId="0" applyFont="1" applyBorder="1" applyAlignment="1">
      <alignment vertical="top" wrapText="1"/>
    </xf>
    <xf numFmtId="0" fontId="20" fillId="0" borderId="5" xfId="0" applyFont="1" applyBorder="1" applyAlignment="1">
      <alignment vertical="top" wrapText="1"/>
    </xf>
    <xf numFmtId="0" fontId="23" fillId="2" borderId="17" xfId="0" applyFont="1" applyFill="1" applyBorder="1" applyAlignment="1">
      <alignment horizontal="justify" vertical="top" wrapText="1"/>
    </xf>
    <xf numFmtId="0" fontId="20" fillId="0" borderId="6" xfId="0" applyFont="1" applyBorder="1" applyAlignment="1">
      <alignment vertical="top" wrapText="1"/>
    </xf>
    <xf numFmtId="0" fontId="20" fillId="0" borderId="16" xfId="0" applyFont="1" applyBorder="1" applyAlignment="1">
      <alignment vertical="top" wrapText="1"/>
    </xf>
    <xf numFmtId="0" fontId="23" fillId="2" borderId="9" xfId="0" applyFont="1" applyFill="1" applyBorder="1" applyAlignment="1">
      <alignment horizontal="justify" vertical="top"/>
    </xf>
    <xf numFmtId="0" fontId="20" fillId="0" borderId="10" xfId="0" applyFont="1" applyBorder="1" applyAlignment="1">
      <alignment vertical="top"/>
    </xf>
    <xf numFmtId="0" fontId="20" fillId="0" borderId="11" xfId="0" applyFont="1" applyBorder="1" applyAlignment="1">
      <alignment vertical="top"/>
    </xf>
    <xf numFmtId="0" fontId="20" fillId="0" borderId="5" xfId="0" applyFont="1" applyBorder="1" applyAlignment="1">
      <alignment vertical="top"/>
    </xf>
    <xf numFmtId="10" fontId="20" fillId="2" borderId="1" xfId="7" applyNumberFormat="1" applyFont="1" applyFill="1" applyBorder="1" applyAlignment="1">
      <alignment horizontal="right"/>
    </xf>
    <xf numFmtId="0" fontId="23" fillId="0" borderId="17" xfId="0" applyFont="1" applyBorder="1" applyAlignment="1">
      <alignment horizontal="left" vertical="top" wrapText="1"/>
    </xf>
    <xf numFmtId="0" fontId="20" fillId="0" borderId="6" xfId="0" applyFont="1" applyBorder="1" applyAlignment="1">
      <alignment horizontal="left" vertical="top" wrapText="1"/>
    </xf>
    <xf numFmtId="0" fontId="20" fillId="0" borderId="16" xfId="0" applyFont="1" applyBorder="1" applyAlignment="1">
      <alignment horizontal="left" vertical="top" wrapText="1"/>
    </xf>
    <xf numFmtId="0" fontId="20" fillId="15" borderId="3" xfId="0" applyNumberFormat="1" applyFont="1" applyFill="1" applyBorder="1" applyAlignment="1">
      <alignment vertical="top" wrapText="1"/>
    </xf>
    <xf numFmtId="0" fontId="20" fillId="15" borderId="4" xfId="0" applyFont="1" applyFill="1" applyBorder="1" applyAlignment="1"/>
    <xf numFmtId="0" fontId="20" fillId="15" borderId="5" xfId="0" applyFont="1" applyFill="1" applyBorder="1" applyAlignment="1"/>
    <xf numFmtId="0" fontId="20" fillId="2" borderId="14" xfId="0" applyFont="1" applyFill="1" applyBorder="1" applyAlignment="1">
      <alignment vertical="top" wrapText="1"/>
    </xf>
    <xf numFmtId="0" fontId="20" fillId="2" borderId="17" xfId="0" applyFont="1" applyFill="1" applyBorder="1" applyAlignment="1">
      <alignment vertical="top" wrapText="1"/>
    </xf>
    <xf numFmtId="0" fontId="20" fillId="2" borderId="17" xfId="0" applyFont="1" applyFill="1" applyBorder="1" applyAlignment="1">
      <alignment horizontal="left" vertical="top" wrapText="1"/>
    </xf>
    <xf numFmtId="0" fontId="20" fillId="0" borderId="17" xfId="0" applyFont="1" applyBorder="1" applyAlignment="1">
      <alignment vertical="top" wrapText="1"/>
    </xf>
    <xf numFmtId="0" fontId="23" fillId="2" borderId="17" xfId="0" applyFont="1" applyFill="1" applyBorder="1" applyAlignment="1">
      <alignment horizontal="left" vertical="top" wrapText="1"/>
    </xf>
    <xf numFmtId="0" fontId="20" fillId="2" borderId="6" xfId="0" applyFont="1" applyFill="1" applyBorder="1" applyAlignment="1"/>
    <xf numFmtId="0" fontId="20" fillId="2" borderId="16" xfId="0" applyFont="1" applyFill="1" applyBorder="1" applyAlignment="1"/>
    <xf numFmtId="0" fontId="20" fillId="0" borderId="16" xfId="0" applyFont="1" applyBorder="1" applyAlignment="1"/>
    <xf numFmtId="0" fontId="20" fillId="15" borderId="1" xfId="0" applyFont="1" applyFill="1" applyBorder="1" applyAlignment="1">
      <alignment horizontal="left" vertical="top" wrapText="1"/>
    </xf>
    <xf numFmtId="0" fontId="20" fillId="15" borderId="0" xfId="0" applyFont="1" applyFill="1" applyBorder="1" applyAlignment="1">
      <alignment horizontal="left" vertical="top" wrapText="1"/>
    </xf>
    <xf numFmtId="0" fontId="20" fillId="15" borderId="2" xfId="0" applyFont="1" applyFill="1" applyBorder="1" applyAlignment="1">
      <alignment horizontal="left" vertical="top" wrapText="1"/>
    </xf>
    <xf numFmtId="0" fontId="20" fillId="15" borderId="3" xfId="0" applyFont="1" applyFill="1" applyBorder="1" applyAlignment="1">
      <alignment horizontal="left" vertical="top" wrapText="1"/>
    </xf>
    <xf numFmtId="0" fontId="20" fillId="15" borderId="4" xfId="0" applyFont="1" applyFill="1" applyBorder="1" applyAlignment="1">
      <alignment horizontal="left" vertical="top" wrapText="1"/>
    </xf>
    <xf numFmtId="0" fontId="20" fillId="15" borderId="5" xfId="0" applyFont="1" applyFill="1" applyBorder="1" applyAlignment="1">
      <alignment horizontal="left" vertical="top" wrapText="1"/>
    </xf>
    <xf numFmtId="0" fontId="20" fillId="15" borderId="9" xfId="0" applyNumberFormat="1" applyFont="1" applyFill="1" applyBorder="1" applyAlignment="1">
      <alignment vertical="top" wrapText="1"/>
    </xf>
    <xf numFmtId="0" fontId="20" fillId="15" borderId="10" xfId="0" applyFont="1" applyFill="1" applyBorder="1" applyAlignment="1"/>
    <xf numFmtId="0" fontId="20" fillId="15" borderId="11" xfId="0" applyFont="1" applyFill="1" applyBorder="1" applyAlignment="1"/>
    <xf numFmtId="0" fontId="20" fillId="15" borderId="9" xfId="0" applyFont="1" applyFill="1" applyBorder="1" applyAlignment="1">
      <alignment vertical="top"/>
    </xf>
    <xf numFmtId="0" fontId="20" fillId="15" borderId="1" xfId="0" applyFont="1" applyFill="1" applyBorder="1" applyAlignment="1">
      <alignment vertical="top"/>
    </xf>
    <xf numFmtId="0" fontId="20" fillId="15" borderId="38" xfId="0" applyFont="1" applyFill="1" applyBorder="1" applyAlignment="1">
      <alignment vertical="top"/>
    </xf>
    <xf numFmtId="0" fontId="20" fillId="15" borderId="15" xfId="0" applyFont="1" applyFill="1" applyBorder="1" applyAlignment="1">
      <alignment vertical="top"/>
    </xf>
    <xf numFmtId="0" fontId="23" fillId="15" borderId="17" xfId="0" applyNumberFormat="1" applyFont="1" applyFill="1" applyBorder="1" applyAlignment="1">
      <alignment vertical="top" wrapText="1"/>
    </xf>
    <xf numFmtId="0" fontId="20" fillId="15" borderId="6" xfId="0" applyFont="1" applyFill="1" applyBorder="1" applyAlignment="1">
      <alignment vertical="top" wrapText="1"/>
    </xf>
    <xf numFmtId="0" fontId="20" fillId="15" borderId="16" xfId="0" applyFont="1" applyFill="1" applyBorder="1" applyAlignment="1">
      <alignment vertical="top" wrapText="1"/>
    </xf>
    <xf numFmtId="0" fontId="23" fillId="15" borderId="17" xfId="0" applyFont="1" applyFill="1" applyBorder="1" applyAlignment="1">
      <alignment vertical="top" wrapText="1"/>
    </xf>
    <xf numFmtId="0" fontId="20" fillId="15" borderId="9" xfId="0" applyFont="1" applyFill="1" applyBorder="1" applyAlignment="1">
      <alignment horizontal="left" vertical="top" wrapText="1"/>
    </xf>
    <xf numFmtId="0" fontId="20" fillId="15" borderId="10" xfId="0" applyFont="1" applyFill="1" applyBorder="1"/>
    <xf numFmtId="0" fontId="20" fillId="15" borderId="11" xfId="0" applyFont="1" applyFill="1" applyBorder="1"/>
    <xf numFmtId="0" fontId="23" fillId="0" borderId="6" xfId="0" applyFont="1" applyBorder="1" applyAlignment="1">
      <alignment horizontal="left" vertical="top" wrapText="1"/>
    </xf>
    <xf numFmtId="0" fontId="20" fillId="0" borderId="6" xfId="0" applyFont="1" applyBorder="1" applyAlignment="1"/>
    <xf numFmtId="0" fontId="20" fillId="0" borderId="17" xfId="0" applyFont="1" applyBorder="1" applyAlignment="1">
      <alignment horizontal="left" vertical="top" wrapText="1"/>
    </xf>
    <xf numFmtId="0" fontId="20" fillId="2" borderId="9"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0" borderId="3" xfId="0" applyFont="1" applyBorder="1" applyAlignment="1">
      <alignment vertical="top"/>
    </xf>
    <xf numFmtId="0" fontId="20" fillId="16" borderId="1"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5" xfId="0" applyFont="1" applyFill="1" applyBorder="1" applyAlignment="1">
      <alignment horizontal="left" vertical="top" wrapText="1"/>
    </xf>
    <xf numFmtId="187" fontId="20" fillId="15" borderId="0" xfId="0" applyNumberFormat="1" applyFont="1" applyFill="1" applyBorder="1" applyAlignment="1">
      <alignment horizontal="left" vertical="top" wrapText="1"/>
    </xf>
    <xf numFmtId="187" fontId="20" fillId="2" borderId="0" xfId="0" applyNumberFormat="1" applyFont="1" applyFill="1" applyBorder="1" applyAlignment="1">
      <alignment horizontal="left" vertical="top" wrapText="1"/>
    </xf>
    <xf numFmtId="0" fontId="20" fillId="0" borderId="0" xfId="0" applyFont="1" applyBorder="1" applyAlignment="1">
      <alignment horizontal="left" vertical="top" wrapText="1"/>
    </xf>
    <xf numFmtId="0" fontId="20" fillId="0" borderId="2" xfId="0" applyFont="1" applyBorder="1" applyAlignment="1">
      <alignment horizontal="left" vertical="top" wrapText="1"/>
    </xf>
    <xf numFmtId="0" fontId="20" fillId="0" borderId="0" xfId="0" applyFont="1" applyBorder="1" applyAlignment="1">
      <alignment horizontal="left" vertical="top"/>
    </xf>
    <xf numFmtId="0" fontId="20" fillId="0" borderId="2" xfId="0" applyFont="1" applyBorder="1" applyAlignment="1">
      <alignment horizontal="left" vertical="top"/>
    </xf>
    <xf numFmtId="187" fontId="20" fillId="2" borderId="10" xfId="0" applyNumberFormat="1" applyFont="1" applyFill="1" applyBorder="1" applyAlignment="1">
      <alignment horizontal="left" vertical="top" wrapText="1"/>
    </xf>
    <xf numFmtId="0" fontId="20" fillId="0" borderId="10" xfId="0" applyFont="1" applyBorder="1" applyAlignment="1">
      <alignment horizontal="left" vertical="top" wrapText="1"/>
    </xf>
    <xf numFmtId="0" fontId="20" fillId="16" borderId="5" xfId="0" applyFont="1" applyFill="1" applyBorder="1" applyAlignment="1"/>
    <xf numFmtId="0" fontId="20" fillId="0" borderId="6" xfId="0" applyFont="1" applyBorder="1" applyAlignment="1">
      <alignment wrapText="1"/>
    </xf>
    <xf numFmtId="0" fontId="20" fillId="0" borderId="16" xfId="0" applyFont="1" applyBorder="1" applyAlignment="1">
      <alignment wrapText="1"/>
    </xf>
    <xf numFmtId="0" fontId="20" fillId="16" borderId="1" xfId="0" applyFont="1" applyFill="1" applyBorder="1" applyAlignment="1">
      <alignment horizontal="left"/>
    </xf>
    <xf numFmtId="0" fontId="20" fillId="16" borderId="0" xfId="0" applyFont="1" applyFill="1" applyBorder="1" applyAlignment="1">
      <alignment horizontal="left"/>
    </xf>
    <xf numFmtId="0" fontId="20" fillId="2" borderId="28" xfId="0" applyFont="1" applyFill="1" applyBorder="1" applyAlignment="1">
      <alignment vertical="center"/>
    </xf>
    <xf numFmtId="0" fontId="20" fillId="2" borderId="38" xfId="0" applyFont="1" applyFill="1" applyBorder="1" applyAlignment="1">
      <alignment vertical="center"/>
    </xf>
    <xf numFmtId="165" fontId="20" fillId="16" borderId="9" xfId="0" applyNumberFormat="1" applyFont="1" applyFill="1" applyBorder="1" applyAlignment="1">
      <alignment horizontal="right"/>
    </xf>
    <xf numFmtId="0" fontId="20" fillId="16" borderId="11" xfId="0" applyFont="1" applyFill="1" applyBorder="1" applyAlignment="1"/>
    <xf numFmtId="0" fontId="20" fillId="2" borderId="4" xfId="0" applyFont="1" applyFill="1" applyBorder="1" applyAlignment="1">
      <alignment vertical="top"/>
    </xf>
    <xf numFmtId="0" fontId="20" fillId="2" borderId="5" xfId="0" applyFont="1" applyFill="1" applyBorder="1" applyAlignment="1">
      <alignment vertical="top"/>
    </xf>
    <xf numFmtId="0" fontId="23" fillId="2" borderId="17" xfId="0" applyFont="1" applyFill="1" applyBorder="1" applyAlignment="1">
      <alignment horizontal="right" vertical="top" wrapText="1"/>
    </xf>
    <xf numFmtId="0" fontId="20" fillId="0" borderId="16" xfId="0" applyFont="1" applyBorder="1" applyAlignment="1">
      <alignment horizontal="right"/>
    </xf>
    <xf numFmtId="0" fontId="20" fillId="2" borderId="15" xfId="0" applyFont="1" applyFill="1" applyBorder="1" applyAlignment="1">
      <alignment vertical="center"/>
    </xf>
    <xf numFmtId="165" fontId="20" fillId="2" borderId="9" xfId="0" applyNumberFormat="1" applyFont="1" applyFill="1" applyBorder="1" applyAlignment="1">
      <alignment horizontal="right"/>
    </xf>
    <xf numFmtId="0" fontId="20" fillId="0" borderId="11" xfId="0" applyFont="1" applyBorder="1" applyAlignment="1"/>
    <xf numFmtId="0" fontId="24" fillId="16" borderId="10" xfId="0" applyNumberFormat="1" applyFont="1" applyFill="1" applyBorder="1" applyAlignment="1">
      <alignment horizontal="left" vertical="center" wrapText="1"/>
    </xf>
    <xf numFmtId="0" fontId="8" fillId="0" borderId="29" xfId="3" applyFont="1" applyBorder="1" applyAlignment="1" applyProtection="1">
      <alignment horizontal="center" wrapText="1"/>
    </xf>
    <xf numFmtId="0" fontId="0" fillId="0" borderId="30" xfId="0" applyBorder="1" applyAlignment="1">
      <alignment horizontal="center"/>
    </xf>
    <xf numFmtId="0" fontId="0" fillId="0" borderId="31"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3" fontId="53" fillId="15" borderId="9" xfId="0" applyNumberFormat="1" applyFont="1" applyFill="1" applyBorder="1" applyAlignment="1"/>
    <xf numFmtId="187" fontId="20" fillId="15" borderId="10" xfId="0" applyNumberFormat="1" applyFont="1" applyFill="1" applyBorder="1" applyAlignment="1">
      <alignment horizontal="right"/>
    </xf>
    <xf numFmtId="10" fontId="20" fillId="15" borderId="10" xfId="0" applyNumberFormat="1" applyFont="1" applyFill="1" applyBorder="1"/>
    <xf numFmtId="187" fontId="20" fillId="15" borderId="11" xfId="0" applyNumberFormat="1" applyFont="1" applyFill="1" applyBorder="1" applyAlignment="1">
      <alignment horizontal="right"/>
    </xf>
    <xf numFmtId="10" fontId="23" fillId="15" borderId="1" xfId="0" applyNumberFormat="1" applyFont="1" applyFill="1" applyBorder="1" applyAlignment="1"/>
    <xf numFmtId="187" fontId="20" fillId="15" borderId="2" xfId="0" applyNumberFormat="1" applyFont="1" applyFill="1" applyBorder="1" applyAlignment="1">
      <alignment horizontal="right"/>
    </xf>
    <xf numFmtId="3" fontId="23" fillId="15" borderId="1" xfId="0" applyNumberFormat="1" applyFont="1" applyFill="1" applyBorder="1" applyAlignment="1"/>
    <xf numFmtId="0" fontId="23" fillId="15" borderId="1" xfId="0" applyFont="1" applyFill="1" applyBorder="1" applyAlignment="1">
      <alignment vertical="top"/>
    </xf>
    <xf numFmtId="187" fontId="19" fillId="15" borderId="0" xfId="0" applyNumberFormat="1" applyFont="1" applyFill="1" applyBorder="1" applyAlignment="1">
      <alignment horizontal="right" wrapText="1" indent="3"/>
    </xf>
    <xf numFmtId="43" fontId="20" fillId="15" borderId="0" xfId="0" applyNumberFormat="1" applyFont="1" applyFill="1" applyBorder="1"/>
    <xf numFmtId="0" fontId="26" fillId="15" borderId="0" xfId="0" applyFont="1" applyFill="1" applyBorder="1" applyAlignment="1">
      <alignment horizontal="right" vertical="top" wrapText="1"/>
    </xf>
    <xf numFmtId="43" fontId="20" fillId="15" borderId="7" xfId="1" applyNumberFormat="1" applyFont="1" applyFill="1" applyBorder="1" applyAlignment="1">
      <alignment vertical="top" wrapText="1"/>
    </xf>
    <xf numFmtId="43" fontId="20" fillId="15" borderId="0" xfId="1" applyNumberFormat="1" applyFont="1" applyFill="1" applyBorder="1" applyAlignment="1">
      <alignment vertical="top" wrapText="1"/>
    </xf>
    <xf numFmtId="221" fontId="20" fillId="15" borderId="0" xfId="0" applyNumberFormat="1" applyFont="1" applyFill="1" applyBorder="1"/>
    <xf numFmtId="41" fontId="20" fillId="15" borderId="0" xfId="0" applyNumberFormat="1" applyFont="1" applyFill="1" applyBorder="1"/>
    <xf numFmtId="43" fontId="20" fillId="15" borderId="7" xfId="0" applyNumberFormat="1" applyFont="1" applyFill="1" applyBorder="1"/>
    <xf numFmtId="0" fontId="23" fillId="15" borderId="1" xfId="0" applyFont="1" applyFill="1" applyBorder="1" applyAlignment="1">
      <alignment horizontal="left" vertical="top" wrapText="1"/>
    </xf>
    <xf numFmtId="0" fontId="20" fillId="15" borderId="1" xfId="0" applyFont="1" applyFill="1" applyBorder="1" applyAlignment="1">
      <alignment vertical="top" wrapText="1"/>
    </xf>
    <xf numFmtId="3" fontId="20" fillId="15" borderId="3" xfId="0" applyNumberFormat="1" applyFont="1" applyFill="1" applyBorder="1" applyAlignment="1"/>
    <xf numFmtId="187" fontId="20" fillId="15" borderId="4" xfId="0" applyNumberFormat="1" applyFont="1" applyFill="1" applyBorder="1" applyAlignment="1">
      <alignment horizontal="right"/>
    </xf>
    <xf numFmtId="10" fontId="20" fillId="15" borderId="4" xfId="0" applyNumberFormat="1" applyFont="1" applyFill="1" applyBorder="1"/>
    <xf numFmtId="187" fontId="20" fillId="15" borderId="5" xfId="0" applyNumberFormat="1" applyFont="1" applyFill="1" applyBorder="1" applyAlignment="1">
      <alignment horizontal="right"/>
    </xf>
    <xf numFmtId="187" fontId="19" fillId="15" borderId="10" xfId="0" applyNumberFormat="1" applyFont="1" applyFill="1" applyBorder="1" applyAlignment="1">
      <alignment horizontal="right" wrapText="1" indent="3"/>
    </xf>
    <xf numFmtId="0" fontId="23" fillId="15" borderId="1" xfId="0" applyFont="1" applyFill="1" applyBorder="1" applyAlignment="1"/>
    <xf numFmtId="3" fontId="20" fillId="15" borderId="1" xfId="0" applyNumberFormat="1" applyFont="1" applyFill="1" applyBorder="1" applyAlignment="1"/>
    <xf numFmtId="0" fontId="20" fillId="15" borderId="1" xfId="0" applyFont="1" applyFill="1" applyBorder="1"/>
    <xf numFmtId="0" fontId="20" fillId="15" borderId="3" xfId="0" applyFont="1" applyFill="1" applyBorder="1"/>
    <xf numFmtId="43" fontId="20" fillId="15" borderId="4" xfId="0" applyNumberFormat="1" applyFont="1" applyFill="1" applyBorder="1"/>
    <xf numFmtId="10" fontId="23" fillId="15" borderId="14" xfId="0" applyNumberFormat="1" applyFont="1" applyFill="1" applyBorder="1" applyAlignment="1">
      <alignment horizontal="right" vertical="top" wrapText="1"/>
    </xf>
    <xf numFmtId="10" fontId="23" fillId="15" borderId="16" xfId="0" applyNumberFormat="1" applyFont="1" applyFill="1" applyBorder="1" applyAlignment="1">
      <alignment horizontal="right" vertical="top" wrapText="1"/>
    </xf>
    <xf numFmtId="17" fontId="20" fillId="15" borderId="28" xfId="0" applyNumberFormat="1" applyFont="1" applyFill="1" applyBorder="1" applyAlignment="1">
      <alignment horizontal="left"/>
    </xf>
    <xf numFmtId="195" fontId="20" fillId="15" borderId="38" xfId="0" applyNumberFormat="1" applyFont="1" applyFill="1" applyBorder="1" applyAlignment="1">
      <alignment horizontal="right"/>
    </xf>
    <xf numFmtId="195" fontId="20" fillId="15" borderId="2" xfId="0" applyNumberFormat="1" applyFont="1" applyFill="1" applyBorder="1" applyAlignment="1">
      <alignment horizontal="right"/>
    </xf>
    <xf numFmtId="17" fontId="20" fillId="15" borderId="38" xfId="0" applyNumberFormat="1" applyFont="1" applyFill="1" applyBorder="1" applyAlignment="1">
      <alignment horizontal="left"/>
    </xf>
    <xf numFmtId="17" fontId="20" fillId="15" borderId="15" xfId="0" applyNumberFormat="1" applyFont="1" applyFill="1" applyBorder="1" applyAlignment="1">
      <alignment horizontal="left"/>
    </xf>
    <xf numFmtId="195" fontId="20" fillId="15" borderId="15" xfId="0" applyNumberFormat="1" applyFont="1" applyFill="1" applyBorder="1" applyAlignment="1">
      <alignment horizontal="right"/>
    </xf>
    <xf numFmtId="49" fontId="20" fillId="10" borderId="0" xfId="0" applyNumberFormat="1" applyFont="1" applyFill="1" applyBorder="1" applyAlignment="1">
      <alignment horizontal="right"/>
    </xf>
    <xf numFmtId="181" fontId="20" fillId="15" borderId="0" xfId="1" applyNumberFormat="1" applyFont="1" applyFill="1" applyBorder="1"/>
    <xf numFmtId="3" fontId="20" fillId="15" borderId="1" xfId="0" applyNumberFormat="1" applyFont="1" applyFill="1" applyBorder="1"/>
    <xf numFmtId="3" fontId="24" fillId="15" borderId="1" xfId="0" applyNumberFormat="1" applyFont="1" applyFill="1" applyBorder="1" applyAlignment="1">
      <alignment horizontal="left" wrapText="1"/>
    </xf>
    <xf numFmtId="3" fontId="24" fillId="15" borderId="0" xfId="0" applyNumberFormat="1" applyFont="1" applyFill="1" applyBorder="1" applyAlignment="1">
      <alignment horizontal="left" wrapText="1"/>
    </xf>
  </cellXfs>
  <cellStyles count="8">
    <cellStyle name="Comma" xfId="1" builtinId="3"/>
    <cellStyle name="Euro" xfId="2"/>
    <cellStyle name="Hyperlink" xfId="3" builtinId="8"/>
    <cellStyle name="Normal" xfId="0" builtinId="0"/>
    <cellStyle name="Normal_GMF 07-1 Amortisation schedule info " xfId="4"/>
    <cellStyle name="Normal_GMF Final Am Scehdules" xfId="5"/>
    <cellStyle name="Normal_wires C10" xfId="6"/>
    <cellStyle name="Percent" xfId="7" builtinId="5"/>
  </cellStyles>
  <dxfs count="2">
    <dxf>
      <numFmt numFmtId="35" formatCode="_-* #,##0.00_-;\-* #,##0.00_-;_-* &quot;-&quot;??_-;_-@_-"/>
    </dxf>
    <dxf>
      <numFmt numFmtId="35" formatCode="_-* #,##0.00_-;\-* #,##0.00_-;_-* &quot;-&quot;??_-;_-@_-"/>
    </dxf>
  </dxfs>
  <tableStyles count="0" defaultTableStyle="TableStyleMedium9" defaultPivotStyle="PivotStyleLight16"/>
  <colors>
    <mruColors>
      <color rgb="FFFFFF99"/>
      <color rgb="FFCCFFCC"/>
      <color rgb="FFFFCC99"/>
      <color rgb="FFCCCCFF"/>
      <color rgb="FFD5D5FF"/>
      <color rgb="FF99CCFF"/>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AugSeptOct11%20-%20IPD201111/Trust%20Distribution%20190911/GMF%2006-1%20Trust%20Wtrfalls%20TD1909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MayJunJul11-IPD200811/Trust%20Distribution%20190811/GMF%2006-1%20Trust%20Wtrfalls%20TD1908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NovDecJan11-IPD200211/Trust%20Distribution%20190211/GMF%2006-1%20Trust%20Wtrfalls%20TD190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MayJunJul11-IPD200811/Trust%20Distribution%20190711/GMF%2006-1%20Trust%20Wtrfalls%20TD1907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MayJunJul11-IPD200811/Trust%20Distribution%20190611/GMF%2006-1%20Trust%20Wtrfalls%20TD1906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FebMarApr11-IPD200511/IPD%20May%202011/GMF%20MT%20Funding%20Waterfall%20May%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nthly tasks priority"/>
      <sheetName val="Monthly Report"/>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 val="HFipd feb 07"/>
      <sheetName val="GMPIPD MAY07"/>
    </sheetNames>
    <sheetDataSet>
      <sheetData sheetId="0" refreshError="1"/>
      <sheetData sheetId="1" refreshError="1">
        <row r="44">
          <cell r="C44">
            <v>2.0838000000000002E-2</v>
          </cell>
        </row>
        <row r="45">
          <cell r="C45">
            <v>235.28</v>
          </cell>
        </row>
        <row r="46">
          <cell r="C46">
            <v>0.56400399999999995</v>
          </cell>
        </row>
        <row r="47">
          <cell r="C47">
            <v>0.516517</v>
          </cell>
        </row>
        <row r="48">
          <cell r="C48">
            <v>0.58513899999999996</v>
          </cell>
        </row>
        <row r="49">
          <cell r="C49">
            <v>0.58210720000000005</v>
          </cell>
        </row>
        <row r="52">
          <cell r="C52">
            <v>50.67</v>
          </cell>
        </row>
        <row r="53">
          <cell r="C53">
            <v>15.552899999999999</v>
          </cell>
        </row>
      </sheetData>
      <sheetData sheetId="2" refreshError="1"/>
      <sheetData sheetId="3" refreshError="1"/>
      <sheetData sheetId="4" refreshError="1"/>
      <sheetData sheetId="5" refreshError="1"/>
      <sheetData sheetId="6" refreshError="1"/>
      <sheetData sheetId="7" refreshError="1">
        <row r="25">
          <cell r="B25">
            <v>4617826371.8599997</v>
          </cell>
        </row>
        <row r="46">
          <cell r="B46">
            <v>4504945849.29</v>
          </cell>
        </row>
        <row r="76">
          <cell r="B76">
            <v>9122772321.1499996</v>
          </cell>
        </row>
        <row r="77">
          <cell r="B77">
            <v>0.50618669999999999</v>
          </cell>
        </row>
        <row r="81">
          <cell r="B81">
            <v>0</v>
          </cell>
        </row>
        <row r="85">
          <cell r="B85">
            <v>0.49381330000000001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onthly tasks priority"/>
      <sheetName val="Monthly Report"/>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 val="HFipd feb 07"/>
      <sheetName val="GMPIPD MAY07"/>
    </sheetNames>
    <sheetDataSet>
      <sheetData sheetId="0" refreshError="1"/>
      <sheetData sheetId="1" refreshError="1">
        <row r="426">
          <cell r="F426">
            <v>4210123.13</v>
          </cell>
        </row>
        <row r="443">
          <cell r="C443">
            <v>845</v>
          </cell>
          <cell r="D443">
            <v>31574615.710000001</v>
          </cell>
        </row>
        <row r="444">
          <cell r="C444">
            <v>215412</v>
          </cell>
          <cell r="D444">
            <v>18871565783.149998</v>
          </cell>
        </row>
        <row r="448">
          <cell r="C448">
            <v>129097</v>
          </cell>
          <cell r="D448">
            <v>29112475617.349998</v>
          </cell>
        </row>
        <row r="455">
          <cell r="C455">
            <v>137278785.97999999</v>
          </cell>
          <cell r="D455">
            <v>1.4858537987567401E-2</v>
          </cell>
          <cell r="E455">
            <v>0.16160007310489011</v>
          </cell>
        </row>
        <row r="456">
          <cell r="C456">
            <v>98226538.679999992</v>
          </cell>
          <cell r="D456">
            <v>1.0631670042424997E-2</v>
          </cell>
          <cell r="E456">
            <v>0.11825248481316952</v>
          </cell>
        </row>
      </sheetData>
      <sheetData sheetId="2" refreshError="1"/>
      <sheetData sheetId="3" refreshError="1"/>
      <sheetData sheetId="4" refreshError="1"/>
      <sheetData sheetId="5" refreshError="1"/>
      <sheetData sheetId="6" refreshError="1">
        <row r="125">
          <cell r="B125">
            <v>358748750.89999998</v>
          </cell>
        </row>
      </sheetData>
      <sheetData sheetId="7" refreshError="1">
        <row r="38">
          <cell r="B38">
            <v>100</v>
          </cell>
        </row>
        <row r="190">
          <cell r="B190">
            <v>1030546026.7406</v>
          </cell>
        </row>
      </sheetData>
      <sheetData sheetId="8" refreshError="1">
        <row r="18">
          <cell r="B18">
            <v>15555856.58</v>
          </cell>
        </row>
        <row r="19">
          <cell r="B19">
            <v>1388720.38</v>
          </cell>
        </row>
        <row r="20">
          <cell r="B20">
            <v>0</v>
          </cell>
        </row>
        <row r="21">
          <cell r="B21">
            <v>65436.6</v>
          </cell>
        </row>
        <row r="25">
          <cell r="B25">
            <v>0</v>
          </cell>
        </row>
        <row r="29">
          <cell r="B29">
            <v>0</v>
          </cell>
        </row>
        <row r="39">
          <cell r="B39">
            <v>8335188.7199999997</v>
          </cell>
        </row>
        <row r="40">
          <cell r="B40">
            <v>8344506</v>
          </cell>
        </row>
        <row r="41">
          <cell r="B41">
            <v>0</v>
          </cell>
        </row>
        <row r="44">
          <cell r="B44">
            <v>330318.84000000003</v>
          </cell>
        </row>
        <row r="75">
          <cell r="B75">
            <v>74.37</v>
          </cell>
        </row>
        <row r="78">
          <cell r="B78">
            <v>0</v>
          </cell>
        </row>
        <row r="79">
          <cell r="B79">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MPIPD MAY07"/>
      <sheetName val="HFipd feb 07"/>
      <sheetName val="Monthly Report"/>
      <sheetName val="Monthly tasks priority"/>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s>
    <sheetDataSet>
      <sheetData sheetId="0" refreshError="1"/>
      <sheetData sheetId="1" refreshError="1"/>
      <sheetData sheetId="2" refreshError="1">
        <row r="44">
          <cell r="C44">
            <v>2.307E-2</v>
          </cell>
        </row>
        <row r="451">
          <cell r="C451">
            <v>0</v>
          </cell>
          <cell r="D451">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onthly tasks priority"/>
      <sheetName val="Monthly Report"/>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 val="HFipd feb 07"/>
      <sheetName val="GMPIPD MAY07"/>
    </sheetNames>
    <sheetDataSet>
      <sheetData sheetId="0"/>
      <sheetData sheetId="1">
        <row r="458">
          <cell r="C458">
            <v>132184591.97999999</v>
          </cell>
          <cell r="D458">
            <v>1.4136808985311207E-2</v>
          </cell>
          <cell r="E458">
            <v>0.15433947019365335</v>
          </cell>
        </row>
        <row r="459">
          <cell r="C459">
            <v>92197633.559999987</v>
          </cell>
          <cell r="D459">
            <v>9.8603045560154562E-3</v>
          </cell>
          <cell r="E459">
            <v>0.11012413314187586</v>
          </cell>
        </row>
      </sheetData>
      <sheetData sheetId="2"/>
      <sheetData sheetId="3"/>
      <sheetData sheetId="4"/>
      <sheetData sheetId="5"/>
      <sheetData sheetId="6">
        <row r="69">
          <cell r="B69">
            <v>8921585212.6700001</v>
          </cell>
        </row>
      </sheetData>
      <sheetData sheetId="7">
        <row r="25">
          <cell r="B25">
            <v>4751520507.29</v>
          </cell>
        </row>
      </sheetData>
      <sheetData sheetId="8">
        <row r="18">
          <cell r="B18">
            <v>15939348.210000001</v>
          </cell>
        </row>
        <row r="19">
          <cell r="B19">
            <v>1370895.09</v>
          </cell>
        </row>
        <row r="20">
          <cell r="B20">
            <v>0</v>
          </cell>
        </row>
        <row r="21">
          <cell r="B21">
            <v>58886.31</v>
          </cell>
        </row>
        <row r="25">
          <cell r="B25">
            <v>0</v>
          </cell>
        </row>
        <row r="29">
          <cell r="B29">
            <v>0</v>
          </cell>
        </row>
        <row r="39">
          <cell r="B39">
            <v>8379882.9699999997</v>
          </cell>
        </row>
        <row r="40">
          <cell r="B40">
            <v>8668484.5600000005</v>
          </cell>
        </row>
        <row r="41">
          <cell r="B41">
            <v>0</v>
          </cell>
        </row>
        <row r="44">
          <cell r="B44">
            <v>320762.08</v>
          </cell>
        </row>
        <row r="75">
          <cell r="B75">
            <v>113.84</v>
          </cell>
        </row>
        <row r="78">
          <cell r="B78">
            <v>0</v>
          </cell>
        </row>
        <row r="79">
          <cell r="B79">
            <v>0</v>
          </cell>
        </row>
      </sheetData>
      <sheetData sheetId="9">
        <row r="10">
          <cell r="C10">
            <v>55.96</v>
          </cell>
        </row>
      </sheetData>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onthly tasks priority"/>
      <sheetName val="Monthly Report"/>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 val="HFipd feb 07"/>
      <sheetName val="GMPIPD MAY07"/>
    </sheetNames>
    <sheetDataSet>
      <sheetData sheetId="0" refreshError="1"/>
      <sheetData sheetId="1" refreshError="1">
        <row r="458">
          <cell r="C458">
            <v>121744657.17</v>
          </cell>
          <cell r="D458">
            <v>1.2869404284788326E-2</v>
          </cell>
          <cell r="E458">
            <v>0.14144997838607121</v>
          </cell>
        </row>
        <row r="459">
          <cell r="C459">
            <v>89073143.620000005</v>
          </cell>
          <cell r="D459">
            <v>9.4157585458729005E-3</v>
          </cell>
          <cell r="E459">
            <v>0.1054085921817367</v>
          </cell>
        </row>
      </sheetData>
      <sheetData sheetId="2" refreshError="1"/>
      <sheetData sheetId="3" refreshError="1"/>
      <sheetData sheetId="4" refreshError="1"/>
      <sheetData sheetId="5" refreshError="1"/>
      <sheetData sheetId="6" refreshError="1"/>
      <sheetData sheetId="7" refreshError="1"/>
      <sheetData sheetId="8" refreshError="1">
        <row r="18">
          <cell r="B18">
            <v>16937098.75</v>
          </cell>
        </row>
        <row r="19">
          <cell r="B19">
            <v>1491054.1</v>
          </cell>
        </row>
        <row r="20">
          <cell r="B20">
            <v>0</v>
          </cell>
        </row>
        <row r="21">
          <cell r="B21">
            <v>60797.13</v>
          </cell>
        </row>
        <row r="25">
          <cell r="B25">
            <v>0</v>
          </cell>
        </row>
        <row r="29">
          <cell r="B29">
            <v>0</v>
          </cell>
        </row>
        <row r="39">
          <cell r="B39">
            <v>8793802.1099999994</v>
          </cell>
        </row>
        <row r="40">
          <cell r="B40">
            <v>9354448.7699999996</v>
          </cell>
        </row>
        <row r="41">
          <cell r="B41">
            <v>0</v>
          </cell>
        </row>
        <row r="44">
          <cell r="B44">
            <v>340699.10000000003</v>
          </cell>
        </row>
        <row r="75">
          <cell r="B75">
            <v>240.94</v>
          </cell>
        </row>
        <row r="78">
          <cell r="B78">
            <v>0</v>
          </cell>
        </row>
        <row r="79">
          <cell r="B79">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ctions"/>
      <sheetName val="Quarterly Report"/>
      <sheetName val="General Inputs"/>
      <sheetName val="Cross-Currency Swap and Notes"/>
      <sheetName val="LN Balances and Interest Due"/>
      <sheetName val="Funding Wires"/>
      <sheetName val="Funding Waterfall"/>
      <sheetName val="Issuer Wires"/>
      <sheetName val="Issuer Waterfall"/>
      <sheetName val="GMF 2 CCY Amortisation"/>
      <sheetName val="GMF 2 GBP Amortisation"/>
      <sheetName val="Feb 2010 Bonds to be called"/>
      <sheetName val="GMF 3 CCY Amortisation"/>
      <sheetName val="GMF 3 GBP Amortisation"/>
      <sheetName val="GMF 09 GBP Amortisation"/>
      <sheetName val="TOTAL AMORTISATION"/>
      <sheetName val="Notices"/>
      <sheetName val="Recon"/>
      <sheetName val="New Loans Additions"/>
    </sheetNames>
    <sheetDataSet>
      <sheetData sheetId="0"/>
      <sheetData sheetId="1">
        <row r="698">
          <cell r="D698">
            <v>7996084.8000000212</v>
          </cell>
        </row>
      </sheetData>
      <sheetData sheetId="2"/>
      <sheetData sheetId="3"/>
      <sheetData sheetId="4"/>
      <sheetData sheetId="5"/>
      <sheetData sheetId="6">
        <row r="179">
          <cell r="C179">
            <v>0</v>
          </cell>
        </row>
      </sheetData>
      <sheetData sheetId="7"/>
      <sheetData sheetId="8"/>
      <sheetData sheetId="9"/>
      <sheetData sheetId="10"/>
      <sheetData sheetId="11"/>
      <sheetData sheetId="12"/>
      <sheetData sheetId="13"/>
      <sheetData sheetId="14"/>
      <sheetData sheetId="15">
        <row r="62">
          <cell r="H62">
            <v>255449967.70999998</v>
          </cell>
        </row>
      </sheetData>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externalLinkPath" Target="file:///C:\Capital%20Planning\Capital%20Issuance\Operations%20Admin\Investor%20Reporting\Corporate%20Loans\CDS%20MARGIN%20PAYMENTS%20150507%20v2.xls" TargetMode="External"/></Relationships>
</file>

<file path=xl/pivotCache/pivotCacheDefinition1.xml><?xml version="1.0" encoding="utf-8"?>
<pivotCacheDefinition xmlns="http://schemas.openxmlformats.org/spreadsheetml/2006/main" xmlns:r="http://schemas.openxmlformats.org/officeDocument/2006/relationships" invalid="1" refreshedBy="deenf" refreshedDate="39211.402459722223" createdVersion="1" refreshedVersion="1" recordCount="17" upgradeOnRefresh="1">
  <cacheSource type="worksheet">
    <worksheetSource ref="H11:I28" sheet="INT CALC " r:id="rId1"/>
  </cacheSource>
  <cacheFields count="2">
    <cacheField name="CCY" numFmtId="0">
      <sharedItems count="3">
        <s v="GBP"/>
        <s v="EUR"/>
        <s v="USD"/>
      </sharedItems>
    </cacheField>
    <cacheField name="BOND COUPON " numFmtId="0">
      <sharedItems containsSemiMixedTypes="0" containsString="0" containsNumber="1" minValue="250980" maxValue="51132972.222222231" count="17">
        <n v="14083043.013698632"/>
        <n v="18541419.444444444"/>
        <n v="51132972.222222231"/>
        <n v="609764.8221917809"/>
        <n v="394729.83333333337"/>
        <n v="250980"/>
        <n v="619201.26054794516"/>
        <n v="682689.33333333337"/>
        <n v="283316.66666666669"/>
        <n v="255163.51205479453"/>
        <n v="504244.33333333331"/>
        <n v="295677.77777777775"/>
        <n v="787056.26027397264"/>
        <n v="854355.5"/>
        <n v="1616265.3589041098"/>
        <n v="1712930.8191780825"/>
        <n v="3544304.3013698636"/>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1" asteriskTotals="1" showMemberPropertyTips="0" useAutoFormatting="1" itemPrintTitles="1" createdVersion="1" indent="0" compact="0" compactData="0" gridDropZones="1">
  <location ref="R7:S12" firstHeaderRow="2" firstDataRow="2" firstDataCol="1"/>
  <pivotFields count="2">
    <pivotField axis="axisRow" compact="0" outline="0" subtotalTop="0" showAll="0" includeNewItemsInFilter="1">
      <items count="4">
        <item x="1"/>
        <item x="0"/>
        <item x="2"/>
        <item t="default"/>
      </items>
    </pivotField>
    <pivotField dataField="1" compact="0" outline="0" subtotalTop="0" showAll="0" includeNewItemsInFilter="1"/>
  </pivotFields>
  <rowFields count="1">
    <field x="0"/>
  </rowFields>
  <rowItems count="4">
    <i>
      <x/>
    </i>
    <i>
      <x v="1"/>
    </i>
    <i>
      <x v="2"/>
    </i>
    <i t="grand">
      <x/>
    </i>
  </rowItems>
  <colItems count="1">
    <i/>
  </colItems>
  <dataFields count="1">
    <dataField name="Sum of BOND COUPON " fld="1" baseField="0" baseItem="0"/>
  </dataFields>
  <formats count="2">
    <format dxfId="1">
      <pivotArea outline="0" fieldPosition="0">
        <references count="1">
          <reference field="0" count="0" selected="0"/>
        </references>
      </pivotArea>
    </format>
    <format dxfId="0">
      <pivotArea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live.irooms.net/BarclaysBoEdatahosting/" TargetMode="External"/><Relationship Id="rId2" Type="http://schemas.openxmlformats.org/officeDocument/2006/relationships/hyperlink" Target="https://boeportal.co.uk/barclays/" TargetMode="External"/><Relationship Id="rId1" Type="http://schemas.openxmlformats.org/officeDocument/2006/relationships/hyperlink" Target="https://live.irooms.net/BarclaysBoEdatahostin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ghpeters@bloomberg.net" TargetMode="External"/><Relationship Id="rId2" Type="http://schemas.openxmlformats.org/officeDocument/2006/relationships/hyperlink" Target="mailto:ldeiacouo@bloomberg.net" TargetMode="External"/><Relationship Id="rId1" Type="http://schemas.openxmlformats.org/officeDocument/2006/relationships/hyperlink" Target="mailto:Jean.Walsh@bedellgroup.comRebecca.Bates@bedellgroup.com" TargetMode="External"/><Relationship Id="rId4" Type="http://schemas.openxmlformats.org/officeDocument/2006/relationships/hyperlink" Target="mailto:datacenter@lewtan.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5" enableFormatConditionsCalculation="0">
    <tabColor indexed="9"/>
  </sheetPr>
  <dimension ref="A1:IV750"/>
  <sheetViews>
    <sheetView view="pageBreakPreview" topLeftCell="A609" zoomScale="75" zoomScaleNormal="70" zoomScaleSheetLayoutView="70" workbookViewId="0">
      <selection activeCell="A657" sqref="A633:IV657"/>
    </sheetView>
  </sheetViews>
  <sheetFormatPr defaultRowHeight="12.75"/>
  <cols>
    <col min="1" max="1" width="49.5703125" style="55" customWidth="1"/>
    <col min="2" max="2" width="37.85546875" style="83" customWidth="1"/>
    <col min="3" max="3" width="30.28515625" style="50" customWidth="1"/>
    <col min="4" max="4" width="27.7109375" style="83" customWidth="1"/>
    <col min="5" max="5" width="21.42578125" style="50" customWidth="1"/>
    <col min="6" max="6" width="23.5703125" style="33" customWidth="1"/>
    <col min="7" max="7" width="30.42578125" style="33" customWidth="1"/>
    <col min="8" max="8" width="33.5703125" style="33" customWidth="1"/>
    <col min="9" max="9" width="22.42578125" style="33" customWidth="1"/>
    <col min="10" max="10" width="24.42578125" style="33" customWidth="1"/>
    <col min="11" max="11" width="18.28515625" style="33" customWidth="1"/>
    <col min="12" max="12" width="20" style="33" customWidth="1"/>
    <col min="13" max="13" width="3.140625" style="35" customWidth="1"/>
    <col min="14" max="19" width="18.28515625" style="35" customWidth="1"/>
    <col min="20" max="21" width="10.85546875" style="35" customWidth="1"/>
    <col min="22" max="36" width="9.140625" style="35"/>
    <col min="37" max="16384" width="9.140625" style="33"/>
  </cols>
  <sheetData>
    <row r="1" spans="1:8" ht="13.5" customHeight="1">
      <c r="B1" s="295"/>
      <c r="C1" s="180"/>
      <c r="D1" s="179"/>
      <c r="E1" s="180"/>
      <c r="F1" s="64"/>
      <c r="G1" s="64"/>
    </row>
    <row r="2" spans="1:8" ht="23.25">
      <c r="A2" s="301" t="s">
        <v>125</v>
      </c>
      <c r="B2" s="295"/>
      <c r="C2" s="180"/>
      <c r="D2" s="179"/>
      <c r="E2" s="180"/>
      <c r="F2" s="64"/>
      <c r="G2" s="64"/>
    </row>
    <row r="3" spans="1:8" ht="20.25">
      <c r="A3" s="303" t="s">
        <v>124</v>
      </c>
      <c r="B3" s="295"/>
      <c r="C3" s="180"/>
      <c r="D3" s="179"/>
      <c r="E3" s="180"/>
      <c r="F3" s="64"/>
      <c r="G3" s="64"/>
    </row>
    <row r="4" spans="1:8" ht="18.75">
      <c r="A4" s="294"/>
      <c r="B4" s="295"/>
      <c r="C4" s="361"/>
      <c r="D4" s="179"/>
      <c r="E4" s="180"/>
      <c r="F4" s="64"/>
      <c r="G4" s="64"/>
    </row>
    <row r="5" spans="1:8" ht="18.75">
      <c r="A5" s="302" t="s">
        <v>152</v>
      </c>
      <c r="B5" s="298" t="e">
        <f>EOMONTH(D9, 0)</f>
        <v>#REF!</v>
      </c>
      <c r="C5" s="486"/>
      <c r="F5" s="181"/>
    </row>
    <row r="6" spans="1:8">
      <c r="A6" s="178"/>
      <c r="C6" s="218"/>
      <c r="F6" s="181"/>
    </row>
    <row r="8" spans="1:8" ht="18.75">
      <c r="A8" s="294"/>
      <c r="B8" s="297" t="s">
        <v>126</v>
      </c>
      <c r="C8" s="297" t="s">
        <v>127</v>
      </c>
      <c r="D8" s="297" t="s">
        <v>28</v>
      </c>
    </row>
    <row r="9" spans="1:8" ht="18.75">
      <c r="A9" s="300" t="s">
        <v>861</v>
      </c>
      <c r="B9" s="298" t="e">
        <f>#REF!</f>
        <v>#REF!</v>
      </c>
      <c r="C9" s="299" t="e">
        <f>+#REF!</f>
        <v>#REF!</v>
      </c>
      <c r="D9" s="298" t="e">
        <f>+#REF!</f>
        <v>#REF!</v>
      </c>
    </row>
    <row r="10" spans="1:8" ht="18.75" hidden="1">
      <c r="A10" s="647" t="s">
        <v>1</v>
      </c>
      <c r="B10" s="648" t="e">
        <f>IF(#REF!="yes",#REF!,#REF!)</f>
        <v>#REF!</v>
      </c>
      <c r="C10" s="649" t="e">
        <f>+#REF!</f>
        <v>#REF!</v>
      </c>
      <c r="D10" s="648" t="e">
        <f>+#REF!</f>
        <v>#REF!</v>
      </c>
      <c r="E10" s="669" t="s">
        <v>942</v>
      </c>
    </row>
    <row r="11" spans="1:8" ht="18.75">
      <c r="C11" s="296"/>
    </row>
    <row r="12" spans="1:8">
      <c r="A12" s="178"/>
      <c r="B12" s="179"/>
    </row>
    <row r="13" spans="1:8" ht="123.75" customHeight="1">
      <c r="A13" s="1366" t="s">
        <v>306</v>
      </c>
      <c r="B13" s="1367"/>
      <c r="C13" s="1367"/>
      <c r="D13" s="1368"/>
    </row>
    <row r="14" spans="1:8" ht="38.25" customHeight="1">
      <c r="A14" s="33"/>
      <c r="B14" s="33"/>
      <c r="C14" s="33"/>
      <c r="D14" s="33"/>
    </row>
    <row r="15" spans="1:8" ht="18.75" customHeight="1">
      <c r="A15" s="330" t="s">
        <v>307</v>
      </c>
      <c r="B15" s="329"/>
      <c r="C15" s="331"/>
      <c r="D15" s="332"/>
      <c r="E15" s="184"/>
      <c r="F15" s="55"/>
      <c r="G15" s="55"/>
    </row>
    <row r="16" spans="1:8" ht="73.5" customHeight="1">
      <c r="A16" s="318" t="s">
        <v>90</v>
      </c>
      <c r="B16" s="1369" t="s">
        <v>417</v>
      </c>
      <c r="C16" s="1369"/>
      <c r="D16" s="1370"/>
      <c r="E16" s="39"/>
      <c r="F16" s="39"/>
      <c r="G16" s="39"/>
      <c r="H16" s="39"/>
    </row>
    <row r="17" spans="1:36" ht="29.25" customHeight="1">
      <c r="A17" s="319" t="s">
        <v>153</v>
      </c>
      <c r="B17" s="1353" t="s">
        <v>156</v>
      </c>
      <c r="C17" s="1353"/>
      <c r="D17" s="1354"/>
      <c r="E17" s="1347"/>
      <c r="F17" s="1348"/>
      <c r="G17" s="1348"/>
      <c r="H17" s="39"/>
    </row>
    <row r="18" spans="1:36" ht="29.25" customHeight="1">
      <c r="A18" s="319" t="s">
        <v>499</v>
      </c>
      <c r="B18" s="1353" t="s">
        <v>863</v>
      </c>
      <c r="C18" s="1353"/>
      <c r="D18" s="1354"/>
      <c r="E18" s="1347"/>
      <c r="F18" s="1348"/>
      <c r="G18" s="1348"/>
      <c r="H18" s="39"/>
    </row>
    <row r="19" spans="1:36" ht="33.75" customHeight="1">
      <c r="A19" s="319" t="s">
        <v>418</v>
      </c>
      <c r="B19" s="1353" t="s">
        <v>396</v>
      </c>
      <c r="C19" s="1353"/>
      <c r="D19" s="1354"/>
      <c r="E19" s="42" t="s">
        <v>639</v>
      </c>
      <c r="F19" s="42"/>
    </row>
    <row r="20" spans="1:36" ht="29.25" customHeight="1">
      <c r="A20" s="319" t="s">
        <v>157</v>
      </c>
      <c r="B20" s="1353" t="s">
        <v>158</v>
      </c>
      <c r="C20" s="1353"/>
      <c r="D20" s="1354"/>
      <c r="E20" s="42"/>
      <c r="F20" s="42"/>
    </row>
    <row r="21" spans="1:36" ht="29.25" customHeight="1">
      <c r="A21" s="320" t="s">
        <v>746</v>
      </c>
      <c r="B21" s="1371" t="s">
        <v>753</v>
      </c>
      <c r="C21" s="1371"/>
      <c r="D21" s="1372"/>
      <c r="E21" s="42"/>
      <c r="F21" s="42"/>
    </row>
    <row r="22" spans="1:36">
      <c r="A22" s="39"/>
      <c r="B22" s="185"/>
      <c r="C22" s="186"/>
      <c r="E22" s="186"/>
      <c r="F22" s="187"/>
      <c r="G22" s="187"/>
      <c r="H22" s="187"/>
    </row>
    <row r="23" spans="1:36">
      <c r="A23" s="39"/>
      <c r="C23" s="84"/>
      <c r="D23" s="85"/>
      <c r="E23" s="84"/>
      <c r="F23" s="42"/>
    </row>
    <row r="24" spans="1:36" ht="25.5" customHeight="1">
      <c r="A24" s="333" t="s">
        <v>747</v>
      </c>
      <c r="B24" s="329"/>
      <c r="C24" s="334"/>
      <c r="D24" s="335"/>
      <c r="E24" s="84"/>
      <c r="F24" s="42"/>
    </row>
    <row r="25" spans="1:36" s="42" customFormat="1" ht="23.25" customHeight="1">
      <c r="A25" s="416" t="s">
        <v>748</v>
      </c>
      <c r="B25" s="417" t="s">
        <v>749</v>
      </c>
      <c r="C25" s="418"/>
      <c r="D25" s="419"/>
      <c r="E25" s="84"/>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s="42" customFormat="1" ht="18" customHeight="1">
      <c r="A26" s="420" t="s">
        <v>575</v>
      </c>
      <c r="B26" s="421" t="e">
        <f>#REF!</f>
        <v>#REF!</v>
      </c>
      <c r="C26" s="422"/>
      <c r="D26" s="423"/>
      <c r="E26" s="84"/>
      <c r="F26" s="42" t="s">
        <v>639</v>
      </c>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s="42" customFormat="1" ht="15.75" hidden="1" customHeight="1">
      <c r="A27" s="650" t="s">
        <v>576</v>
      </c>
      <c r="B27" s="651" t="e">
        <f>IF(#REF!="yes",#REF!,#REF!)</f>
        <v>#REF!</v>
      </c>
      <c r="C27" s="652"/>
      <c r="D27" s="653"/>
      <c r="E27" s="668" t="s">
        <v>942</v>
      </c>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s="42" customFormat="1" ht="15.75" customHeight="1">
      <c r="A28" s="420"/>
      <c r="B28" s="424"/>
      <c r="C28" s="422"/>
      <c r="D28" s="423"/>
      <c r="E28" s="84"/>
      <c r="M28" s="43"/>
      <c r="N28" s="43"/>
      <c r="O28" s="43"/>
      <c r="P28" s="43"/>
      <c r="Q28" s="43"/>
      <c r="R28" s="43"/>
      <c r="S28" s="43"/>
      <c r="T28" s="43"/>
      <c r="U28" s="43"/>
      <c r="V28" s="43"/>
      <c r="W28" s="43"/>
      <c r="X28" s="43"/>
      <c r="Y28" s="43"/>
      <c r="Z28" s="43"/>
      <c r="AA28" s="43"/>
      <c r="AB28" s="43"/>
      <c r="AC28" s="43"/>
      <c r="AD28" s="43"/>
      <c r="AE28" s="43"/>
      <c r="AF28" s="43"/>
      <c r="AG28" s="43"/>
      <c r="AH28" s="43"/>
      <c r="AI28" s="43"/>
      <c r="AJ28" s="43"/>
    </row>
    <row r="29" spans="1:36" s="42" customFormat="1" ht="15.75" customHeight="1">
      <c r="A29" s="420" t="s">
        <v>956</v>
      </c>
      <c r="B29" s="425" t="s">
        <v>957</v>
      </c>
      <c r="C29" s="425"/>
      <c r="D29" s="423"/>
      <c r="E29" s="84"/>
      <c r="M29" s="43"/>
      <c r="N29" s="43"/>
      <c r="O29" s="43"/>
      <c r="P29" s="43"/>
      <c r="Q29" s="43"/>
      <c r="R29" s="43"/>
      <c r="S29" s="43"/>
      <c r="T29" s="43"/>
      <c r="U29" s="43"/>
      <c r="V29" s="43"/>
      <c r="W29" s="43"/>
      <c r="X29" s="43"/>
      <c r="Y29" s="43"/>
      <c r="Z29" s="43"/>
      <c r="AA29" s="43"/>
      <c r="AB29" s="43"/>
      <c r="AC29" s="43"/>
      <c r="AD29" s="43"/>
      <c r="AE29" s="43"/>
      <c r="AF29" s="43"/>
      <c r="AG29" s="43"/>
      <c r="AH29" s="43"/>
      <c r="AI29" s="43"/>
      <c r="AJ29" s="43"/>
    </row>
    <row r="30" spans="1:36" ht="15.75">
      <c r="A30" s="420"/>
      <c r="B30" s="426"/>
      <c r="C30" s="422"/>
      <c r="D30" s="423"/>
      <c r="E30" s="84"/>
      <c r="F30" s="42"/>
    </row>
    <row r="31" spans="1:36" ht="15.75">
      <c r="A31" s="427" t="s">
        <v>958</v>
      </c>
      <c r="B31" s="428" t="s">
        <v>959</v>
      </c>
      <c r="C31" s="428" t="s">
        <v>442</v>
      </c>
      <c r="D31" s="429" t="s">
        <v>444</v>
      </c>
      <c r="E31" s="33"/>
    </row>
    <row r="32" spans="1:36" ht="15" customHeight="1">
      <c r="A32" s="430" t="s">
        <v>960</v>
      </c>
      <c r="B32" s="431" t="s">
        <v>78</v>
      </c>
      <c r="C32" s="431" t="s">
        <v>225</v>
      </c>
      <c r="D32" s="432" t="s">
        <v>932</v>
      </c>
      <c r="E32" s="33"/>
    </row>
    <row r="33" spans="1:7" ht="15" customHeight="1">
      <c r="A33" s="430" t="s">
        <v>800</v>
      </c>
      <c r="B33" s="431" t="s">
        <v>801</v>
      </c>
      <c r="C33" s="431" t="s">
        <v>802</v>
      </c>
      <c r="D33" s="432" t="s">
        <v>988</v>
      </c>
      <c r="E33" s="33"/>
    </row>
    <row r="34" spans="1:7" ht="15.75">
      <c r="A34" s="433"/>
      <c r="B34" s="434"/>
      <c r="C34" s="435"/>
      <c r="D34" s="436"/>
    </row>
    <row r="35" spans="1:7">
      <c r="A35" s="178"/>
      <c r="B35" s="179"/>
      <c r="E35" s="83"/>
      <c r="F35" s="50"/>
    </row>
    <row r="36" spans="1:7">
      <c r="A36" s="178"/>
      <c r="B36" s="179"/>
      <c r="E36" s="83"/>
      <c r="F36" s="50"/>
    </row>
    <row r="37" spans="1:7" ht="18.75">
      <c r="A37" s="305" t="s">
        <v>989</v>
      </c>
      <c r="E37" s="83"/>
      <c r="F37" s="50"/>
    </row>
    <row r="38" spans="1:7">
      <c r="A38" s="189"/>
      <c r="E38" s="83"/>
      <c r="F38" s="50"/>
    </row>
    <row r="39" spans="1:7" ht="15.75">
      <c r="A39" s="437" t="e">
        <f>"Key pool statistics as of the "&amp;TEXT(EOMONTH(B5,-1)+1,"dd mmmm yyyy")</f>
        <v>#REF!</v>
      </c>
      <c r="B39" s="329"/>
      <c r="C39" s="438" t="s">
        <v>556</v>
      </c>
      <c r="D39" s="439" t="s">
        <v>862</v>
      </c>
      <c r="E39" s="218"/>
      <c r="G39" s="64"/>
    </row>
    <row r="40" spans="1:7" ht="5.25" customHeight="1">
      <c r="A40" s="315"/>
      <c r="B40" s="183"/>
      <c r="C40" s="321"/>
      <c r="D40" s="326"/>
      <c r="E40" s="218"/>
    </row>
    <row r="41" spans="1:7" ht="15" customHeight="1">
      <c r="A41" s="430" t="s">
        <v>86</v>
      </c>
      <c r="B41" s="183"/>
      <c r="C41" s="497">
        <f>D87</f>
        <v>86850</v>
      </c>
      <c r="D41" s="446">
        <v>139484</v>
      </c>
      <c r="E41" s="218"/>
      <c r="G41" s="291"/>
    </row>
    <row r="42" spans="1:7" ht="15" customHeight="1">
      <c r="A42" s="430" t="s">
        <v>87</v>
      </c>
      <c r="B42" s="183"/>
      <c r="C42" s="447">
        <f>B87</f>
        <v>9128291538.9599991</v>
      </c>
      <c r="D42" s="326">
        <v>15399324381.5</v>
      </c>
      <c r="E42" s="218"/>
      <c r="G42" s="185"/>
    </row>
    <row r="43" spans="1:7" ht="15" customHeight="1">
      <c r="A43" s="430" t="s">
        <v>88</v>
      </c>
      <c r="B43" s="183"/>
      <c r="C43" s="447">
        <f>B223</f>
        <v>8768869159.2399998</v>
      </c>
      <c r="D43" s="326">
        <v>15206852094.48</v>
      </c>
      <c r="E43" s="218"/>
      <c r="G43" s="185"/>
    </row>
    <row r="44" spans="1:7" ht="15" customHeight="1">
      <c r="A44" s="430" t="s">
        <v>851</v>
      </c>
      <c r="B44" s="183"/>
      <c r="C44" s="663">
        <f>'[2]Monthly Report'!$C$44</f>
        <v>2.0838000000000002E-2</v>
      </c>
      <c r="D44" s="448">
        <v>4.9700000000000001E-2</v>
      </c>
      <c r="E44" s="218"/>
      <c r="G44" s="292"/>
    </row>
    <row r="45" spans="1:7" ht="15" customHeight="1">
      <c r="A45" s="430" t="s">
        <v>852</v>
      </c>
      <c r="B45" s="183"/>
      <c r="C45" s="449">
        <f>'[2]Monthly Report'!$C$45</f>
        <v>235.28</v>
      </c>
      <c r="D45" s="327">
        <v>241.63</v>
      </c>
      <c r="E45" s="218"/>
      <c r="G45" s="187"/>
    </row>
    <row r="46" spans="1:7" ht="15" customHeight="1">
      <c r="A46" s="430" t="s">
        <v>854</v>
      </c>
      <c r="B46" s="183"/>
      <c r="C46" s="450">
        <f>'[2]Monthly Report'!$C$46</f>
        <v>0.56400399999999995</v>
      </c>
      <c r="D46" s="326"/>
      <c r="E46" s="218"/>
      <c r="G46" s="186"/>
    </row>
    <row r="47" spans="1:7" ht="15" customHeight="1">
      <c r="A47" s="430" t="s">
        <v>855</v>
      </c>
      <c r="B47" s="183"/>
      <c r="C47" s="450">
        <f>'[2]Monthly Report'!$C$47</f>
        <v>0.516517</v>
      </c>
      <c r="D47" s="326"/>
      <c r="E47" s="218"/>
      <c r="G47" s="186"/>
    </row>
    <row r="48" spans="1:7" ht="15" customHeight="1">
      <c r="A48" s="430" t="s">
        <v>856</v>
      </c>
      <c r="B48" s="183"/>
      <c r="C48" s="450">
        <f>'[2]Monthly Report'!$C$48</f>
        <v>0.58513899999999996</v>
      </c>
      <c r="D48" s="326"/>
      <c r="E48" s="218"/>
      <c r="G48" s="186"/>
    </row>
    <row r="49" spans="1:13" ht="15" customHeight="1">
      <c r="A49" s="430" t="s">
        <v>857</v>
      </c>
      <c r="B49" s="183"/>
      <c r="C49" s="450">
        <f>'[2]Monthly Report'!$C$49</f>
        <v>0.58210720000000005</v>
      </c>
      <c r="D49" s="326"/>
      <c r="E49" s="218"/>
      <c r="G49" s="186"/>
    </row>
    <row r="50" spans="1:13" ht="15" customHeight="1">
      <c r="A50" s="430" t="s">
        <v>858</v>
      </c>
      <c r="B50" s="183"/>
      <c r="C50" s="447">
        <f>C43/C41</f>
        <v>100965.67828716178</v>
      </c>
      <c r="D50" s="326"/>
      <c r="E50" s="218"/>
      <c r="G50" s="185"/>
    </row>
    <row r="51" spans="1:13" ht="15" customHeight="1">
      <c r="A51" s="430" t="s">
        <v>859</v>
      </c>
      <c r="B51" s="183"/>
      <c r="C51" s="447">
        <f>+C42/C41</f>
        <v>105104.10522694299</v>
      </c>
      <c r="D51" s="326"/>
      <c r="E51" s="218"/>
      <c r="G51" s="185"/>
    </row>
    <row r="52" spans="1:13" ht="15" customHeight="1">
      <c r="A52" s="430" t="s">
        <v>860</v>
      </c>
      <c r="B52" s="183"/>
      <c r="C52" s="449">
        <f>'[2]Monthly Report'!$C$52</f>
        <v>50.67</v>
      </c>
      <c r="D52" s="326"/>
      <c r="E52" s="218"/>
      <c r="G52" s="293"/>
    </row>
    <row r="53" spans="1:13" ht="15" customHeight="1">
      <c r="A53" s="430" t="s">
        <v>853</v>
      </c>
      <c r="B53" s="183"/>
      <c r="C53" s="449">
        <f>'[2]Monthly Report'!$C$53</f>
        <v>15.552899999999999</v>
      </c>
      <c r="D53" s="326">
        <v>18.09</v>
      </c>
      <c r="E53" s="218"/>
      <c r="G53" s="293"/>
    </row>
    <row r="54" spans="1:13" ht="15" customHeight="1">
      <c r="A54" s="433"/>
      <c r="B54" s="310"/>
      <c r="C54" s="451"/>
      <c r="D54" s="312"/>
      <c r="E54" s="218"/>
    </row>
    <row r="55" spans="1:13" ht="15" customHeight="1">
      <c r="A55" s="336" t="s">
        <v>607</v>
      </c>
      <c r="B55" s="306"/>
      <c r="C55" s="337"/>
      <c r="D55" s="324"/>
      <c r="E55" s="218"/>
    </row>
    <row r="56" spans="1:13" ht="15" customHeight="1">
      <c r="A56" s="338" t="e">
        <f>"1. After any repurchases and additions as of the"&amp;TEXT((B5-27)," dd mmmm yyyy")</f>
        <v>#REF!</v>
      </c>
      <c r="B56" s="310"/>
      <c r="C56" s="328"/>
      <c r="D56" s="312"/>
      <c r="E56" s="218"/>
    </row>
    <row r="57" spans="1:13" ht="15" customHeight="1">
      <c r="A57" s="675"/>
      <c r="B57" s="183"/>
      <c r="C57" s="676"/>
      <c r="D57" s="183"/>
      <c r="E57" s="218"/>
    </row>
    <row r="58" spans="1:13" ht="15" customHeight="1">
      <c r="B58" s="183"/>
      <c r="C58" s="676"/>
      <c r="D58" s="183"/>
      <c r="E58" s="218"/>
    </row>
    <row r="59" spans="1:13" ht="15" hidden="1" customHeight="1">
      <c r="A59" s="688" t="s">
        <v>940</v>
      </c>
      <c r="B59" s="689"/>
      <c r="C59" s="690"/>
      <c r="D59" s="689"/>
      <c r="E59" s="691"/>
      <c r="F59" s="62"/>
      <c r="G59" s="62"/>
      <c r="H59" s="62"/>
      <c r="I59" s="62"/>
      <c r="J59" s="62"/>
      <c r="K59" s="62"/>
      <c r="L59" s="62"/>
      <c r="M59" s="692"/>
    </row>
    <row r="60" spans="1:13" ht="15" hidden="1" customHeight="1">
      <c r="A60" s="693" t="s">
        <v>40</v>
      </c>
      <c r="B60" s="689"/>
      <c r="C60" s="690"/>
      <c r="D60" s="689"/>
      <c r="E60" s="691"/>
      <c r="F60" s="62"/>
      <c r="G60" s="62"/>
      <c r="H60" s="62"/>
      <c r="I60" s="62"/>
      <c r="J60" s="62"/>
      <c r="K60" s="62"/>
      <c r="L60" s="62"/>
      <c r="M60" s="692"/>
    </row>
    <row r="61" spans="1:13" ht="15" hidden="1" customHeight="1">
      <c r="A61" s="693" t="s">
        <v>581</v>
      </c>
      <c r="B61" s="689"/>
      <c r="C61" s="690"/>
      <c r="D61" s="689"/>
      <c r="E61" s="691"/>
      <c r="F61" s="62"/>
      <c r="G61" s="62"/>
      <c r="H61" s="62"/>
      <c r="I61" s="62"/>
      <c r="J61" s="62"/>
      <c r="K61" s="62"/>
      <c r="L61" s="62"/>
      <c r="M61" s="692"/>
    </row>
    <row r="62" spans="1:13" ht="15" hidden="1" customHeight="1">
      <c r="A62" s="693" t="s">
        <v>41</v>
      </c>
      <c r="B62" s="689"/>
      <c r="C62" s="690"/>
      <c r="D62" s="689"/>
      <c r="E62" s="691"/>
      <c r="F62" s="62"/>
      <c r="G62" s="62"/>
      <c r="H62" s="62"/>
      <c r="I62" s="62"/>
      <c r="J62" s="62"/>
      <c r="K62" s="62"/>
      <c r="L62" s="62"/>
      <c r="M62" s="692"/>
    </row>
    <row r="64" spans="1:13">
      <c r="A64" s="178"/>
      <c r="D64" s="33"/>
      <c r="E64" s="33"/>
      <c r="F64" s="193"/>
      <c r="G64" s="87"/>
    </row>
    <row r="65" spans="1:36" ht="18.75">
      <c r="A65" s="305" t="s">
        <v>419</v>
      </c>
      <c r="D65" s="33"/>
      <c r="E65" s="33"/>
      <c r="F65" s="193"/>
      <c r="G65" s="87"/>
    </row>
    <row r="66" spans="1:36">
      <c r="A66" s="178"/>
      <c r="D66" s="33"/>
      <c r="E66" s="33"/>
      <c r="F66" s="193"/>
      <c r="G66" s="87"/>
    </row>
    <row r="67" spans="1:36" ht="15" customHeight="1">
      <c r="A67" s="340" t="s">
        <v>717</v>
      </c>
      <c r="C67" s="195"/>
      <c r="D67" s="33"/>
      <c r="E67" s="33"/>
      <c r="F67" s="193"/>
      <c r="G67" s="340" t="s">
        <v>1011</v>
      </c>
      <c r="H67" s="183"/>
      <c r="I67" s="204"/>
      <c r="J67" s="183"/>
      <c r="K67" s="204"/>
    </row>
    <row r="68" spans="1:36" ht="25.5">
      <c r="A68" s="196" t="s">
        <v>990</v>
      </c>
      <c r="B68" s="197" t="s">
        <v>934</v>
      </c>
      <c r="C68" s="198" t="s">
        <v>991</v>
      </c>
      <c r="D68" s="197" t="s">
        <v>992</v>
      </c>
      <c r="E68" s="198" t="s">
        <v>936</v>
      </c>
      <c r="F68" s="192"/>
      <c r="G68" s="197" t="s">
        <v>928</v>
      </c>
      <c r="H68" s="197" t="s">
        <v>934</v>
      </c>
      <c r="I68" s="198" t="s">
        <v>991</v>
      </c>
      <c r="J68" s="197" t="s">
        <v>992</v>
      </c>
      <c r="K68" s="198" t="s">
        <v>991</v>
      </c>
    </row>
    <row r="69" spans="1:36">
      <c r="A69" s="241" t="s">
        <v>993</v>
      </c>
      <c r="B69" s="83">
        <v>155231.35</v>
      </c>
      <c r="C69" s="206">
        <v>1.7005520620968879E-5</v>
      </c>
      <c r="D69" s="200">
        <v>2</v>
      </c>
      <c r="E69" s="206">
        <v>2.3028209556706965E-5</v>
      </c>
      <c r="F69" s="193"/>
      <c r="G69" s="83" t="s">
        <v>1004</v>
      </c>
      <c r="H69" s="83">
        <v>69921173.430000007</v>
      </c>
      <c r="I69" s="199">
        <v>7.6598313201953474E-3</v>
      </c>
      <c r="J69" s="200">
        <v>578</v>
      </c>
      <c r="K69" s="199">
        <v>6.6551525618883129E-3</v>
      </c>
    </row>
    <row r="70" spans="1:36">
      <c r="A70" s="241" t="s">
        <v>994</v>
      </c>
      <c r="B70" s="83">
        <v>1629176.28</v>
      </c>
      <c r="C70" s="206">
        <v>1.7847548723072605E-4</v>
      </c>
      <c r="D70" s="200">
        <v>21</v>
      </c>
      <c r="E70" s="206">
        <v>2.4179620034542315E-4</v>
      </c>
      <c r="F70" s="193"/>
      <c r="G70" s="83" t="s">
        <v>1005</v>
      </c>
      <c r="H70" s="83">
        <v>138064942.31999999</v>
      </c>
      <c r="I70" s="199">
        <v>1.5124948817720378E-2</v>
      </c>
      <c r="J70" s="200">
        <v>1185</v>
      </c>
      <c r="K70" s="199">
        <v>1.3644214162348877E-2</v>
      </c>
    </row>
    <row r="71" spans="1:36">
      <c r="A71" s="241" t="s">
        <v>995</v>
      </c>
      <c r="B71" s="83">
        <v>131997920.76000001</v>
      </c>
      <c r="C71" s="206">
        <v>1.4460309489089647E-2</v>
      </c>
      <c r="D71" s="200">
        <v>1988</v>
      </c>
      <c r="E71" s="206">
        <v>2.2890040299366723E-2</v>
      </c>
      <c r="F71" s="192"/>
      <c r="G71" s="83" t="s">
        <v>1006</v>
      </c>
      <c r="H71" s="83">
        <v>99242366.379999995</v>
      </c>
      <c r="I71" s="199">
        <v>1.0871954073380397E-2</v>
      </c>
      <c r="J71" s="200">
        <v>881</v>
      </c>
      <c r="K71" s="199">
        <v>1.0143926309729418E-2</v>
      </c>
    </row>
    <row r="72" spans="1:36">
      <c r="A72" s="241" t="s">
        <v>996</v>
      </c>
      <c r="B72" s="83">
        <v>193042190.22</v>
      </c>
      <c r="C72" s="206">
        <v>2.1147680197996132E-2</v>
      </c>
      <c r="D72" s="200">
        <v>2874</v>
      </c>
      <c r="E72" s="206">
        <v>3.309153713298791E-2</v>
      </c>
      <c r="F72" s="193"/>
      <c r="G72" s="83" t="s">
        <v>1007</v>
      </c>
      <c r="H72" s="83">
        <v>6419037.8799999999</v>
      </c>
      <c r="I72" s="199">
        <v>7.0320254919589589E-4</v>
      </c>
      <c r="J72" s="200">
        <v>39</v>
      </c>
      <c r="K72" s="199">
        <v>4.4905008635578585E-4</v>
      </c>
    </row>
    <row r="73" spans="1:36">
      <c r="A73" s="241" t="s">
        <v>997</v>
      </c>
      <c r="B73" s="83">
        <v>581302217.07000005</v>
      </c>
      <c r="C73" s="206">
        <v>6.3681381624258321E-2</v>
      </c>
      <c r="D73" s="200">
        <v>7473</v>
      </c>
      <c r="E73" s="206">
        <v>8.6044905008635583E-2</v>
      </c>
      <c r="F73" s="193"/>
      <c r="G73" s="83" t="s">
        <v>1008</v>
      </c>
      <c r="H73" s="83">
        <v>19115508.149999999</v>
      </c>
      <c r="I73" s="199">
        <v>2.0940948334542187E-3</v>
      </c>
      <c r="J73" s="200">
        <v>147</v>
      </c>
      <c r="K73" s="199">
        <v>1.692573402417962E-3</v>
      </c>
    </row>
    <row r="74" spans="1:36">
      <c r="A74" s="241" t="s">
        <v>998</v>
      </c>
      <c r="B74" s="83">
        <v>377009222.95999998</v>
      </c>
      <c r="C74" s="206">
        <v>4.1301181206900107E-2</v>
      </c>
      <c r="D74" s="200">
        <v>4699</v>
      </c>
      <c r="E74" s="206">
        <v>5.410477835348302E-2</v>
      </c>
      <c r="F74" s="192"/>
      <c r="G74" s="83" t="s">
        <v>1009</v>
      </c>
      <c r="H74" s="83">
        <v>110946601.48</v>
      </c>
      <c r="I74" s="199">
        <v>1.2154147466311127E-2</v>
      </c>
      <c r="J74" s="200">
        <v>1005</v>
      </c>
      <c r="K74" s="199">
        <v>1.157167530224525E-2</v>
      </c>
    </row>
    <row r="75" spans="1:36">
      <c r="A75" s="241" t="s">
        <v>999</v>
      </c>
      <c r="B75" s="83">
        <v>469075582.73000002</v>
      </c>
      <c r="C75" s="206">
        <v>5.1387007166451934E-2</v>
      </c>
      <c r="D75" s="200">
        <v>5307</v>
      </c>
      <c r="E75" s="206">
        <v>6.1105354058721938E-2</v>
      </c>
      <c r="F75" s="193"/>
      <c r="G75" s="83" t="s">
        <v>1010</v>
      </c>
      <c r="H75" s="83">
        <v>744165881.38</v>
      </c>
      <c r="I75" s="199">
        <v>8.1523018650736898E-2</v>
      </c>
      <c r="J75" s="200">
        <v>6436</v>
      </c>
      <c r="K75" s="199">
        <v>7.4104778353483017E-2</v>
      </c>
    </row>
    <row r="76" spans="1:36">
      <c r="A76" s="241" t="s">
        <v>1000</v>
      </c>
      <c r="B76" s="83">
        <v>954111270.12</v>
      </c>
      <c r="C76" s="206">
        <v>0.10452243621359002</v>
      </c>
      <c r="D76" s="200">
        <v>10012</v>
      </c>
      <c r="E76" s="206">
        <v>0.11527921704087507</v>
      </c>
      <c r="F76" s="193"/>
      <c r="G76" s="83" t="s">
        <v>727</v>
      </c>
      <c r="H76" s="83">
        <v>526552863.86000001</v>
      </c>
      <c r="I76" s="199">
        <v>5.7683615998968291E-2</v>
      </c>
      <c r="J76" s="200">
        <v>4502</v>
      </c>
      <c r="K76" s="199">
        <v>5.1836499712147384E-2</v>
      </c>
    </row>
    <row r="77" spans="1:36">
      <c r="A77" s="241" t="s">
        <v>1001</v>
      </c>
      <c r="B77" s="83">
        <v>807475743.69000006</v>
      </c>
      <c r="C77" s="206">
        <v>8.8458583979669547E-2</v>
      </c>
      <c r="D77" s="200">
        <v>7793</v>
      </c>
      <c r="E77" s="206">
        <v>8.9729418537708688E-2</v>
      </c>
      <c r="F77" s="192"/>
      <c r="G77" s="88" t="s">
        <v>945</v>
      </c>
      <c r="H77" s="88">
        <v>484997551.76999998</v>
      </c>
      <c r="I77" s="205">
        <v>5.3131251308090495E-2</v>
      </c>
      <c r="J77" s="583">
        <v>4422</v>
      </c>
      <c r="K77" s="205">
        <v>5.0915371329879104E-2</v>
      </c>
    </row>
    <row r="78" spans="1:36">
      <c r="A78" s="241" t="s">
        <v>1002</v>
      </c>
      <c r="B78" s="83">
        <v>1497580059.3399999</v>
      </c>
      <c r="C78" s="206">
        <v>0.16405918379668905</v>
      </c>
      <c r="D78" s="200">
        <v>13059</v>
      </c>
      <c r="E78" s="206">
        <v>0.15036269430051813</v>
      </c>
      <c r="F78" s="193"/>
      <c r="G78" s="83" t="s">
        <v>946</v>
      </c>
      <c r="H78" s="83">
        <v>6928865612.3100004</v>
      </c>
      <c r="I78" s="199">
        <v>0.75905393498194684</v>
      </c>
      <c r="J78" s="200">
        <v>67655</v>
      </c>
      <c r="K78" s="199">
        <v>0.77898675877950485</v>
      </c>
    </row>
    <row r="79" spans="1:36" ht="13.5" thickBot="1">
      <c r="A79" s="241" t="s">
        <v>1003</v>
      </c>
      <c r="B79" s="83">
        <v>776553634.48000002</v>
      </c>
      <c r="C79" s="206">
        <v>8.5071081611014593E-2</v>
      </c>
      <c r="D79" s="200">
        <v>6899</v>
      </c>
      <c r="E79" s="206">
        <v>7.9435808865860685E-2</v>
      </c>
      <c r="F79" s="87"/>
      <c r="G79" s="201" t="s">
        <v>814</v>
      </c>
      <c r="H79" s="89">
        <v>9128291538.960001</v>
      </c>
      <c r="I79" s="654">
        <v>1</v>
      </c>
      <c r="J79" s="239">
        <v>86850</v>
      </c>
      <c r="K79" s="654">
        <v>1</v>
      </c>
      <c r="L79" s="35"/>
      <c r="AA79" s="33"/>
      <c r="AB79" s="33"/>
      <c r="AC79" s="33"/>
      <c r="AD79" s="33"/>
      <c r="AE79" s="33"/>
      <c r="AF79" s="33"/>
      <c r="AG79" s="33"/>
      <c r="AH79" s="33"/>
      <c r="AI79" s="33"/>
      <c r="AJ79" s="33"/>
    </row>
    <row r="80" spans="1:36" ht="13.5" thickTop="1">
      <c r="A80" s="241" t="s">
        <v>1004</v>
      </c>
      <c r="B80" s="83">
        <v>950997469.34000003</v>
      </c>
      <c r="C80" s="206">
        <v>0.10418132081793136</v>
      </c>
      <c r="D80" s="200">
        <v>7818</v>
      </c>
      <c r="E80" s="206">
        <v>9.0017271157167525E-2</v>
      </c>
      <c r="F80" s="87"/>
      <c r="G80" s="35"/>
      <c r="H80" s="35"/>
      <c r="I80" s="35"/>
      <c r="J80" s="35"/>
      <c r="K80" s="35"/>
      <c r="L80" s="35"/>
      <c r="AA80" s="33"/>
      <c r="AB80" s="33"/>
      <c r="AC80" s="33"/>
      <c r="AD80" s="33"/>
      <c r="AE80" s="33"/>
      <c r="AF80" s="33"/>
      <c r="AG80" s="33"/>
      <c r="AH80" s="33"/>
      <c r="AI80" s="33"/>
      <c r="AJ80" s="33"/>
    </row>
    <row r="81" spans="1:36">
      <c r="A81" s="241" t="s">
        <v>1005</v>
      </c>
      <c r="B81" s="83">
        <v>1719807270.01</v>
      </c>
      <c r="C81" s="206">
        <v>0.18840406911520929</v>
      </c>
      <c r="D81" s="200">
        <v>13264</v>
      </c>
      <c r="E81" s="206">
        <v>0.15272308578008059</v>
      </c>
      <c r="F81" s="87"/>
      <c r="G81" s="35"/>
      <c r="H81" s="35"/>
      <c r="I81" s="35"/>
      <c r="J81" s="35"/>
      <c r="K81" s="35"/>
      <c r="L81" s="35"/>
      <c r="AA81" s="33"/>
      <c r="AB81" s="33"/>
      <c r="AC81" s="33"/>
      <c r="AD81" s="33"/>
      <c r="AE81" s="33"/>
      <c r="AF81" s="33"/>
      <c r="AG81" s="33"/>
      <c r="AH81" s="33"/>
      <c r="AI81" s="33"/>
      <c r="AJ81" s="33"/>
    </row>
    <row r="82" spans="1:36">
      <c r="A82" s="241" t="s">
        <v>1006</v>
      </c>
      <c r="B82" s="83">
        <v>159374834.72999999</v>
      </c>
      <c r="C82" s="206">
        <v>1.7459437404007128E-2</v>
      </c>
      <c r="D82" s="200">
        <v>1340</v>
      </c>
      <c r="E82" s="206">
        <v>1.5428900402993667E-2</v>
      </c>
      <c r="F82" s="87"/>
    </row>
    <row r="83" spans="1:36">
      <c r="A83" s="241" t="s">
        <v>1007</v>
      </c>
      <c r="B83" s="83">
        <v>302895769.42000002</v>
      </c>
      <c r="C83" s="206">
        <v>3.3182087592976833E-2</v>
      </c>
      <c r="D83" s="200">
        <v>2506</v>
      </c>
      <c r="E83" s="206">
        <v>2.8854346574553828E-2</v>
      </c>
      <c r="F83" s="87"/>
      <c r="G83" s="83"/>
      <c r="H83" s="83"/>
      <c r="I83" s="199"/>
      <c r="J83" s="200"/>
      <c r="K83" s="199"/>
    </row>
    <row r="84" spans="1:36">
      <c r="A84" s="241" t="s">
        <v>1008</v>
      </c>
      <c r="B84" s="83">
        <v>27202334.210000001</v>
      </c>
      <c r="C84" s="206">
        <v>2.9800027851760755E-3</v>
      </c>
      <c r="D84" s="200">
        <v>224</v>
      </c>
      <c r="E84" s="206">
        <v>2.57915947035118E-3</v>
      </c>
      <c r="F84" s="87"/>
    </row>
    <row r="85" spans="1:36">
      <c r="A85" s="241" t="s">
        <v>1009</v>
      </c>
      <c r="B85" s="83">
        <v>46180210.439999998</v>
      </c>
      <c r="C85" s="206">
        <v>5.0590201072019426E-3</v>
      </c>
      <c r="D85" s="200">
        <v>375</v>
      </c>
      <c r="E85" s="206">
        <v>4.3177892918825561E-3</v>
      </c>
      <c r="F85" s="87"/>
    </row>
    <row r="86" spans="1:36">
      <c r="A86" s="241" t="s">
        <v>1010</v>
      </c>
      <c r="B86" s="83">
        <v>131901401.81</v>
      </c>
      <c r="C86" s="206">
        <v>1.4449735883986429E-2</v>
      </c>
      <c r="D86" s="200">
        <v>1196</v>
      </c>
      <c r="E86" s="206">
        <v>1.3770869314910766E-2</v>
      </c>
      <c r="F86" s="87"/>
    </row>
    <row r="87" spans="1:36" ht="13.5" thickBot="1">
      <c r="A87" s="201" t="s">
        <v>814</v>
      </c>
      <c r="B87" s="89">
        <v>9128291538.9599991</v>
      </c>
      <c r="C87" s="202">
        <v>1</v>
      </c>
      <c r="D87" s="203">
        <v>86850</v>
      </c>
      <c r="E87" s="202">
        <v>1</v>
      </c>
      <c r="F87" s="193"/>
      <c r="G87" s="87"/>
    </row>
    <row r="88" spans="1:36" ht="13.5" thickTop="1">
      <c r="A88" s="178"/>
      <c r="E88" s="188"/>
      <c r="F88" s="193"/>
      <c r="G88" s="87"/>
    </row>
    <row r="89" spans="1:36">
      <c r="A89" s="178"/>
      <c r="E89" s="188"/>
      <c r="F89" s="193"/>
    </row>
    <row r="90" spans="1:36">
      <c r="A90" s="178"/>
      <c r="E90" s="188"/>
      <c r="F90" s="87"/>
    </row>
    <row r="91" spans="1:36">
      <c r="A91" s="178"/>
      <c r="E91" s="188"/>
      <c r="F91" s="87"/>
    </row>
    <row r="92" spans="1:36">
      <c r="A92" s="178"/>
      <c r="E92" s="188"/>
      <c r="F92" s="87"/>
    </row>
    <row r="93" spans="1:36" ht="15.75">
      <c r="A93" s="340" t="s">
        <v>1012</v>
      </c>
      <c r="B93" s="179"/>
      <c r="C93" s="207"/>
      <c r="D93" s="183"/>
      <c r="E93" s="207"/>
      <c r="F93" s="87"/>
      <c r="G93" s="340" t="s">
        <v>990</v>
      </c>
      <c r="H93" s="83"/>
      <c r="I93" s="50"/>
      <c r="J93" s="83"/>
      <c r="K93" s="50"/>
    </row>
    <row r="94" spans="1:36">
      <c r="A94" s="208" t="s">
        <v>719</v>
      </c>
      <c r="B94" s="197" t="s">
        <v>934</v>
      </c>
      <c r="C94" s="198" t="s">
        <v>991</v>
      </c>
      <c r="D94" s="197" t="s">
        <v>992</v>
      </c>
      <c r="E94" s="198" t="s">
        <v>991</v>
      </c>
      <c r="F94" s="87"/>
      <c r="G94" s="54" t="s">
        <v>990</v>
      </c>
      <c r="H94" s="197" t="s">
        <v>934</v>
      </c>
      <c r="I94" s="198" t="s">
        <v>991</v>
      </c>
      <c r="J94" s="197" t="s">
        <v>882</v>
      </c>
      <c r="K94" s="198" t="s">
        <v>991</v>
      </c>
    </row>
    <row r="95" spans="1:36">
      <c r="A95" s="241" t="s">
        <v>1013</v>
      </c>
      <c r="B95" s="83">
        <v>361138.52</v>
      </c>
      <c r="C95" s="206">
        <v>3.9562553239962026E-5</v>
      </c>
      <c r="D95" s="200">
        <v>4</v>
      </c>
      <c r="E95" s="206">
        <v>4.6056419113413931E-5</v>
      </c>
      <c r="F95" s="87"/>
      <c r="G95" s="83" t="s">
        <v>268</v>
      </c>
      <c r="H95" s="83">
        <v>688380537.57000005</v>
      </c>
      <c r="I95" s="206">
        <v>7.5411760747556955E-2</v>
      </c>
      <c r="J95" s="200">
        <v>10503</v>
      </c>
      <c r="K95" s="206">
        <v>0.12093264248704663</v>
      </c>
    </row>
    <row r="96" spans="1:36">
      <c r="A96" s="241" t="s">
        <v>1014</v>
      </c>
      <c r="B96" s="83">
        <v>16949322.43</v>
      </c>
      <c r="C96" s="206">
        <v>1.8567902172777291E-3</v>
      </c>
      <c r="D96" s="200">
        <v>288</v>
      </c>
      <c r="E96" s="206">
        <v>3.3160621761658031E-3</v>
      </c>
      <c r="F96" s="87"/>
      <c r="G96" s="83" t="s">
        <v>269</v>
      </c>
      <c r="H96" s="83">
        <v>500415374.25</v>
      </c>
      <c r="I96" s="206">
        <v>5.482026643366969E-2</v>
      </c>
      <c r="J96" s="200">
        <v>6013</v>
      </c>
      <c r="K96" s="206">
        <v>6.9234312032239495E-2</v>
      </c>
    </row>
    <row r="97" spans="1:11">
      <c r="A97" s="241" t="s">
        <v>1015</v>
      </c>
      <c r="B97" s="83">
        <v>52935043.869999997</v>
      </c>
      <c r="C97" s="206">
        <v>5.7990088993181907E-3</v>
      </c>
      <c r="D97" s="200">
        <v>883</v>
      </c>
      <c r="E97" s="206">
        <v>1.0166954519286125E-2</v>
      </c>
      <c r="F97" s="87"/>
      <c r="G97" s="83" t="s">
        <v>270</v>
      </c>
      <c r="H97" s="83">
        <v>612922641.80999994</v>
      </c>
      <c r="I97" s="206">
        <v>6.7145384127360055E-2</v>
      </c>
      <c r="J97" s="200">
        <v>7022</v>
      </c>
      <c r="K97" s="206">
        <v>8.0852043753598155E-2</v>
      </c>
    </row>
    <row r="98" spans="1:11">
      <c r="A98" s="241" t="s">
        <v>1016</v>
      </c>
      <c r="B98" s="83">
        <v>78996110.870000005</v>
      </c>
      <c r="C98" s="206">
        <v>8.6539864040100674E-3</v>
      </c>
      <c r="D98" s="200">
        <v>1276</v>
      </c>
      <c r="E98" s="206">
        <v>1.4691997697179044E-2</v>
      </c>
      <c r="F98" s="87"/>
      <c r="G98" s="83" t="s">
        <v>271</v>
      </c>
      <c r="H98" s="83">
        <v>720137170.54999995</v>
      </c>
      <c r="I98" s="206">
        <v>7.8890684798619631E-2</v>
      </c>
      <c r="J98" s="200">
        <v>7445</v>
      </c>
      <c r="K98" s="206">
        <v>8.5722510074841676E-2</v>
      </c>
    </row>
    <row r="99" spans="1:11">
      <c r="A99" s="241" t="s">
        <v>1017</v>
      </c>
      <c r="B99" s="83">
        <v>96696911.659999996</v>
      </c>
      <c r="C99" s="206">
        <v>1.0593100718496201E-2</v>
      </c>
      <c r="D99" s="200">
        <v>1466</v>
      </c>
      <c r="E99" s="206">
        <v>1.6879677605066205E-2</v>
      </c>
      <c r="F99" s="87"/>
      <c r="G99" s="83" t="s">
        <v>272</v>
      </c>
      <c r="H99" s="83">
        <v>814680177.97000003</v>
      </c>
      <c r="I99" s="206">
        <v>8.9247826331236749E-2</v>
      </c>
      <c r="J99" s="200">
        <v>8037</v>
      </c>
      <c r="K99" s="206">
        <v>9.2538860103626941E-2</v>
      </c>
    </row>
    <row r="100" spans="1:11">
      <c r="A100" s="241" t="s">
        <v>1018</v>
      </c>
      <c r="B100" s="83">
        <v>117308579.59</v>
      </c>
      <c r="C100" s="206">
        <v>1.2851099144820379E-2</v>
      </c>
      <c r="D100" s="200">
        <v>1689</v>
      </c>
      <c r="E100" s="206">
        <v>1.9447322970639034E-2</v>
      </c>
      <c r="F100" s="87"/>
      <c r="G100" s="83" t="s">
        <v>273</v>
      </c>
      <c r="H100" s="83">
        <v>944681835.03999996</v>
      </c>
      <c r="I100" s="206">
        <v>0.10348944608178333</v>
      </c>
      <c r="J100" s="200">
        <v>8616</v>
      </c>
      <c r="K100" s="206">
        <v>9.9205526770293609E-2</v>
      </c>
    </row>
    <row r="101" spans="1:11">
      <c r="A101" s="241" t="s">
        <v>1019</v>
      </c>
      <c r="B101" s="83">
        <v>208456718.44</v>
      </c>
      <c r="C101" s="206">
        <v>2.2836334438957863E-2</v>
      </c>
      <c r="D101" s="200">
        <v>2874</v>
      </c>
      <c r="E101" s="206">
        <v>3.309153713298791E-2</v>
      </c>
      <c r="F101" s="87"/>
      <c r="G101" s="83" t="s">
        <v>274</v>
      </c>
      <c r="H101" s="83">
        <v>1116009674.3</v>
      </c>
      <c r="I101" s="206">
        <v>0.12225832945155349</v>
      </c>
      <c r="J101" s="200">
        <v>9464</v>
      </c>
      <c r="K101" s="206">
        <v>0.10896948762233737</v>
      </c>
    </row>
    <row r="102" spans="1:11">
      <c r="A102" s="241" t="s">
        <v>1020</v>
      </c>
      <c r="B102" s="83">
        <v>269753698.85000002</v>
      </c>
      <c r="C102" s="206">
        <v>2.9551389512339502E-2</v>
      </c>
      <c r="D102" s="200">
        <v>3413</v>
      </c>
      <c r="E102" s="206">
        <v>3.9297639608520438E-2</v>
      </c>
      <c r="F102" s="87"/>
      <c r="G102" s="83" t="s">
        <v>275</v>
      </c>
      <c r="H102" s="83">
        <v>1106475599.8699999</v>
      </c>
      <c r="I102" s="206">
        <v>0.1212138761286827</v>
      </c>
      <c r="J102" s="200">
        <v>9171</v>
      </c>
      <c r="K102" s="206">
        <v>0.1055958549222798</v>
      </c>
    </row>
    <row r="103" spans="1:11">
      <c r="A103" s="261" t="s">
        <v>1021</v>
      </c>
      <c r="B103" s="83">
        <v>267996641.83000001</v>
      </c>
      <c r="C103" s="206">
        <v>2.9358904750815307E-2</v>
      </c>
      <c r="D103" s="200">
        <v>3240</v>
      </c>
      <c r="E103" s="206">
        <v>3.7305699481865282E-2</v>
      </c>
      <c r="F103" s="87"/>
      <c r="G103" s="83" t="s">
        <v>276</v>
      </c>
      <c r="H103" s="83">
        <v>1038624713.65</v>
      </c>
      <c r="I103" s="206">
        <v>0.11378084378846777</v>
      </c>
      <c r="J103" s="200">
        <v>8022</v>
      </c>
      <c r="K103" s="206">
        <v>9.2366148531951645E-2</v>
      </c>
    </row>
    <row r="104" spans="1:11">
      <c r="A104" s="241" t="s">
        <v>790</v>
      </c>
      <c r="B104" s="83">
        <v>234998686.65000001</v>
      </c>
      <c r="C104" s="206">
        <v>2.5743994442663658E-2</v>
      </c>
      <c r="D104" s="200">
        <v>2811</v>
      </c>
      <c r="E104" s="206">
        <v>3.236614853195164E-2</v>
      </c>
      <c r="F104" s="87"/>
      <c r="G104" s="83" t="s">
        <v>277</v>
      </c>
      <c r="H104" s="83">
        <v>751602412.21000004</v>
      </c>
      <c r="I104" s="206">
        <v>8.233768706905599E-2</v>
      </c>
      <c r="J104" s="200">
        <v>5760</v>
      </c>
      <c r="K104" s="206">
        <v>6.6321243523316059E-2</v>
      </c>
    </row>
    <row r="105" spans="1:11">
      <c r="A105" s="241" t="s">
        <v>791</v>
      </c>
      <c r="B105" s="83">
        <v>246048433.38</v>
      </c>
      <c r="C105" s="206">
        <v>2.6954488945697345E-2</v>
      </c>
      <c r="D105" s="200">
        <v>2843</v>
      </c>
      <c r="E105" s="206">
        <v>3.2734599884858953E-2</v>
      </c>
      <c r="F105" s="87"/>
      <c r="G105" s="83" t="s">
        <v>278</v>
      </c>
      <c r="H105" s="83">
        <v>353011675.04000002</v>
      </c>
      <c r="I105" s="206">
        <v>3.8672261236763601E-2</v>
      </c>
      <c r="J105" s="200">
        <v>2796</v>
      </c>
      <c r="K105" s="206">
        <v>3.2193436960276337E-2</v>
      </c>
    </row>
    <row r="106" spans="1:11">
      <c r="A106" s="241" t="s">
        <v>792</v>
      </c>
      <c r="B106" s="83">
        <v>349462876.39999998</v>
      </c>
      <c r="C106" s="206">
        <v>3.8283492032268579E-2</v>
      </c>
      <c r="D106" s="200">
        <v>3909</v>
      </c>
      <c r="E106" s="206">
        <v>4.5008635578583762E-2</v>
      </c>
      <c r="F106" s="87"/>
      <c r="G106" s="88" t="s">
        <v>279</v>
      </c>
      <c r="H106" s="83">
        <v>173498504.40000001</v>
      </c>
      <c r="I106" s="206">
        <v>1.9006678704278867E-2</v>
      </c>
      <c r="J106" s="200">
        <v>1395</v>
      </c>
      <c r="K106" s="206">
        <v>1.6062176165803108E-2</v>
      </c>
    </row>
    <row r="107" spans="1:11">
      <c r="A107" s="241" t="s">
        <v>793</v>
      </c>
      <c r="B107" s="83">
        <v>405947152.61000001</v>
      </c>
      <c r="C107" s="206">
        <v>4.4471317647710673E-2</v>
      </c>
      <c r="D107" s="200">
        <v>4310</v>
      </c>
      <c r="E107" s="206">
        <v>4.9625791594703511E-2</v>
      </c>
      <c r="F107" s="87"/>
      <c r="G107" s="83" t="s">
        <v>803</v>
      </c>
      <c r="H107" s="83">
        <v>132986517.61</v>
      </c>
      <c r="I107" s="206">
        <v>1.4568609804190296E-2</v>
      </c>
      <c r="J107" s="200">
        <v>1081</v>
      </c>
      <c r="K107" s="206">
        <v>1.2446747265400114E-2</v>
      </c>
    </row>
    <row r="108" spans="1:11">
      <c r="A108" s="241" t="s">
        <v>249</v>
      </c>
      <c r="B108" s="83">
        <v>409311955.30000001</v>
      </c>
      <c r="C108" s="206">
        <v>4.4839930183324689E-2</v>
      </c>
      <c r="D108" s="200">
        <v>4031</v>
      </c>
      <c r="E108" s="206">
        <v>4.6413356361542889E-2</v>
      </c>
      <c r="F108" s="87"/>
      <c r="G108" s="83" t="s">
        <v>804</v>
      </c>
      <c r="H108" s="83">
        <v>79004879.840000004</v>
      </c>
      <c r="I108" s="206">
        <v>8.6549470405062386E-3</v>
      </c>
      <c r="J108" s="200">
        <v>682</v>
      </c>
      <c r="K108" s="206">
        <v>7.8526194588370759E-3</v>
      </c>
    </row>
    <row r="109" spans="1:11">
      <c r="A109" s="241" t="s">
        <v>250</v>
      </c>
      <c r="B109" s="83">
        <v>382542298.35000002</v>
      </c>
      <c r="C109" s="206">
        <v>4.1907326986357789E-2</v>
      </c>
      <c r="D109" s="200">
        <v>3792</v>
      </c>
      <c r="E109" s="206">
        <v>4.3661485319516406E-2</v>
      </c>
      <c r="F109" s="87"/>
      <c r="G109" s="83" t="s">
        <v>805</v>
      </c>
      <c r="H109" s="83">
        <v>69681137.700000003</v>
      </c>
      <c r="I109" s="206">
        <v>7.6335355200474759E-3</v>
      </c>
      <c r="J109" s="200">
        <v>596</v>
      </c>
      <c r="K109" s="206">
        <v>6.8624064478986762E-3</v>
      </c>
    </row>
    <row r="110" spans="1:11">
      <c r="A110" s="241" t="s">
        <v>251</v>
      </c>
      <c r="B110" s="83">
        <v>405797914.75</v>
      </c>
      <c r="C110" s="206">
        <v>4.445496871107088E-2</v>
      </c>
      <c r="D110" s="200">
        <v>3909</v>
      </c>
      <c r="E110" s="206">
        <v>4.5008635578583762E-2</v>
      </c>
      <c r="F110" s="87"/>
      <c r="G110" s="83" t="s">
        <v>806</v>
      </c>
      <c r="H110" s="83">
        <v>24032520</v>
      </c>
      <c r="I110" s="206">
        <v>2.6327511448805082E-3</v>
      </c>
      <c r="J110" s="200">
        <v>218</v>
      </c>
      <c r="K110" s="206">
        <v>2.5100748416810592E-3</v>
      </c>
    </row>
    <row r="111" spans="1:11" ht="12.75" customHeight="1">
      <c r="A111" s="241" t="s">
        <v>252</v>
      </c>
      <c r="B111" s="83">
        <v>590428760.99000001</v>
      </c>
      <c r="C111" s="206">
        <v>6.4681190173431755E-2</v>
      </c>
      <c r="D111" s="200">
        <v>5407</v>
      </c>
      <c r="E111" s="206">
        <v>6.2256764536557284E-2</v>
      </c>
      <c r="F111" s="87"/>
      <c r="G111" s="83" t="s">
        <v>807</v>
      </c>
      <c r="H111" s="83">
        <v>799461.16</v>
      </c>
      <c r="I111" s="206">
        <v>8.7580590145248992E-5</v>
      </c>
      <c r="J111" s="200">
        <v>13</v>
      </c>
      <c r="K111" s="206">
        <v>1.4968336211859529E-4</v>
      </c>
    </row>
    <row r="112" spans="1:11">
      <c r="A112" s="241" t="s">
        <v>253</v>
      </c>
      <c r="B112" s="83">
        <v>676654156.10000002</v>
      </c>
      <c r="C112" s="206">
        <v>7.4127141230317453E-2</v>
      </c>
      <c r="D112" s="200">
        <v>5868</v>
      </c>
      <c r="E112" s="206">
        <v>6.7564766839378232E-2</v>
      </c>
      <c r="F112" s="87"/>
      <c r="G112" s="83" t="s">
        <v>728</v>
      </c>
      <c r="H112" s="83">
        <v>323361.63</v>
      </c>
      <c r="I112" s="206">
        <v>3.5424112893401413E-5</v>
      </c>
      <c r="J112" s="200">
        <v>4</v>
      </c>
      <c r="K112" s="206">
        <v>4.6056419113413931E-5</v>
      </c>
    </row>
    <row r="113" spans="1:11">
      <c r="A113" s="241" t="s">
        <v>254</v>
      </c>
      <c r="B113" s="83">
        <v>619236320.32000005</v>
      </c>
      <c r="C113" s="206">
        <v>6.7837044607643018E-2</v>
      </c>
      <c r="D113" s="200">
        <v>5239</v>
      </c>
      <c r="E113" s="206">
        <v>6.0322394933793898E-2</v>
      </c>
      <c r="F113" s="87"/>
      <c r="G113" s="83" t="s">
        <v>729</v>
      </c>
      <c r="H113" s="83">
        <v>1023344.36</v>
      </c>
      <c r="I113" s="206">
        <v>1.1210688830788495E-4</v>
      </c>
      <c r="J113" s="200">
        <v>12</v>
      </c>
      <c r="K113" s="206">
        <v>1.3816925734024181E-4</v>
      </c>
    </row>
    <row r="114" spans="1:11" ht="13.5" thickBot="1">
      <c r="A114" s="241" t="s">
        <v>255</v>
      </c>
      <c r="B114" s="83">
        <v>565607792.02999997</v>
      </c>
      <c r="C114" s="206">
        <v>6.1962064819682604E-2</v>
      </c>
      <c r="D114" s="200">
        <v>4897</v>
      </c>
      <c r="E114" s="206">
        <v>5.6384571099597006E-2</v>
      </c>
      <c r="F114" s="87"/>
      <c r="G114" s="201" t="s">
        <v>814</v>
      </c>
      <c r="H114" s="89">
        <v>9128291538.960001</v>
      </c>
      <c r="I114" s="202">
        <v>1</v>
      </c>
      <c r="J114" s="203">
        <v>86850</v>
      </c>
      <c r="K114" s="202">
        <v>1</v>
      </c>
    </row>
    <row r="115" spans="1:11" ht="13.5" thickTop="1">
      <c r="A115" s="241" t="s">
        <v>256</v>
      </c>
      <c r="B115" s="83">
        <v>527290220.63999999</v>
      </c>
      <c r="C115" s="206">
        <v>5.7764393083798764E-2</v>
      </c>
      <c r="D115" s="200">
        <v>4355</v>
      </c>
      <c r="E115" s="206">
        <v>5.0143926309729421E-2</v>
      </c>
      <c r="F115" s="87"/>
    </row>
    <row r="116" spans="1:11">
      <c r="A116" s="241" t="s">
        <v>257</v>
      </c>
      <c r="B116" s="83">
        <v>780214218.12</v>
      </c>
      <c r="C116" s="206">
        <v>8.5472096809135298E-2</v>
      </c>
      <c r="D116" s="200">
        <v>6160</v>
      </c>
      <c r="E116" s="206">
        <v>7.0926885434657458E-2</v>
      </c>
      <c r="F116" s="87"/>
    </row>
    <row r="117" spans="1:11">
      <c r="A117" s="241" t="s">
        <v>258</v>
      </c>
      <c r="B117" s="83">
        <v>632067860.49000001</v>
      </c>
      <c r="C117" s="206">
        <v>6.9242733735256259E-2</v>
      </c>
      <c r="D117" s="200">
        <v>4746</v>
      </c>
      <c r="E117" s="206">
        <v>5.464594127806563E-2</v>
      </c>
      <c r="F117" s="87"/>
    </row>
    <row r="118" spans="1:11">
      <c r="A118" s="241" t="s">
        <v>259</v>
      </c>
      <c r="B118" s="83">
        <v>446009574.25</v>
      </c>
      <c r="C118" s="206">
        <v>4.8860136899266299E-2</v>
      </c>
      <c r="D118" s="200">
        <v>3229</v>
      </c>
      <c r="E118" s="206">
        <v>3.7179044329303398E-2</v>
      </c>
      <c r="F118" s="87"/>
    </row>
    <row r="119" spans="1:11">
      <c r="A119" s="241" t="s">
        <v>260</v>
      </c>
      <c r="B119" s="83">
        <v>134114605.90000001</v>
      </c>
      <c r="C119" s="206">
        <v>1.4692191340251589E-2</v>
      </c>
      <c r="D119" s="200">
        <v>1041</v>
      </c>
      <c r="E119" s="206">
        <v>1.1986183074265976E-2</v>
      </c>
      <c r="F119" s="87"/>
    </row>
    <row r="120" spans="1:11">
      <c r="A120" s="241" t="s">
        <v>261</v>
      </c>
      <c r="B120" s="83">
        <v>82132195.010000005</v>
      </c>
      <c r="C120" s="206">
        <v>8.9975429311668787E-3</v>
      </c>
      <c r="D120" s="200">
        <v>714</v>
      </c>
      <c r="E120" s="206">
        <v>8.2210708117443874E-3</v>
      </c>
      <c r="F120" s="87"/>
    </row>
    <row r="121" spans="1:11">
      <c r="A121" s="241" t="s">
        <v>262</v>
      </c>
      <c r="B121" s="83">
        <v>124864760.62</v>
      </c>
      <c r="C121" s="206">
        <v>1.3678875185687375E-2</v>
      </c>
      <c r="D121" s="200">
        <v>1055</v>
      </c>
      <c r="E121" s="206">
        <v>1.2147380541162925E-2</v>
      </c>
      <c r="F121" s="87"/>
    </row>
    <row r="122" spans="1:11">
      <c r="A122" s="241" t="s">
        <v>263</v>
      </c>
      <c r="B122" s="83">
        <v>104932049.69</v>
      </c>
      <c r="C122" s="206">
        <v>1.1495256176048364E-2</v>
      </c>
      <c r="D122" s="200">
        <v>832</v>
      </c>
      <c r="E122" s="206">
        <v>9.5797351755900987E-3</v>
      </c>
      <c r="F122" s="87"/>
    </row>
    <row r="123" spans="1:11">
      <c r="A123" s="241" t="s">
        <v>264</v>
      </c>
      <c r="B123" s="83">
        <v>88646724.430000007</v>
      </c>
      <c r="C123" s="206">
        <v>9.7112065331887536E-3</v>
      </c>
      <c r="D123" s="200">
        <v>727</v>
      </c>
      <c r="E123" s="206">
        <v>8.3707541738629824E-3</v>
      </c>
      <c r="F123" s="87"/>
    </row>
    <row r="124" spans="1:11" ht="12.75" customHeight="1">
      <c r="A124" s="241" t="s">
        <v>265</v>
      </c>
      <c r="B124" s="83">
        <v>34168318.93</v>
      </c>
      <c r="C124" s="206">
        <v>3.7431231007651225E-3</v>
      </c>
      <c r="D124" s="200">
        <v>274</v>
      </c>
      <c r="E124" s="206">
        <v>3.1548647092688544E-3</v>
      </c>
      <c r="F124" s="87"/>
    </row>
    <row r="125" spans="1:11">
      <c r="A125" s="241" t="s">
        <v>266</v>
      </c>
      <c r="B125" s="83">
        <v>26030562.440000001</v>
      </c>
      <c r="C125" s="206">
        <v>2.8516357446407431E-3</v>
      </c>
      <c r="D125" s="200">
        <v>225</v>
      </c>
      <c r="E125" s="206">
        <v>2.5906735751295338E-3</v>
      </c>
      <c r="F125" s="87"/>
    </row>
    <row r="126" spans="1:11">
      <c r="A126" s="241" t="s">
        <v>267</v>
      </c>
      <c r="B126" s="83">
        <v>49709863.93</v>
      </c>
      <c r="C126" s="206">
        <v>5.4456919696129142E-3</v>
      </c>
      <c r="D126" s="200">
        <v>459</v>
      </c>
      <c r="E126" s="206">
        <v>5.2849740932642483E-3</v>
      </c>
      <c r="F126" s="87"/>
    </row>
    <row r="127" spans="1:11">
      <c r="A127" s="241" t="s">
        <v>929</v>
      </c>
      <c r="B127" s="183">
        <v>46155347.75</v>
      </c>
      <c r="C127" s="207">
        <v>5.0562964113280862E-3</v>
      </c>
      <c r="D127" s="224">
        <v>389</v>
      </c>
      <c r="E127" s="207">
        <v>4.4789867587795053E-3</v>
      </c>
      <c r="F127" s="87"/>
      <c r="G127" s="87"/>
    </row>
    <row r="128" spans="1:11">
      <c r="A128" s="241" t="s">
        <v>933</v>
      </c>
      <c r="B128" s="183">
        <v>46565350.5</v>
      </c>
      <c r="C128" s="207">
        <v>5.1012120177425062E-3</v>
      </c>
      <c r="D128" s="224">
        <v>409</v>
      </c>
      <c r="E128" s="207">
        <v>4.7092688543465743E-3</v>
      </c>
      <c r="F128" s="87"/>
      <c r="G128" s="87"/>
    </row>
    <row r="129" spans="1:36" ht="13.5" thickBot="1">
      <c r="A129" s="241" t="s">
        <v>426</v>
      </c>
      <c r="B129" s="655">
        <v>9899373.3200000003</v>
      </c>
      <c r="C129" s="495">
        <v>1.0844716426670841E-3</v>
      </c>
      <c r="D129" s="656">
        <v>86</v>
      </c>
      <c r="E129" s="495">
        <v>9.9021301093839948E-4</v>
      </c>
      <c r="F129" s="87"/>
      <c r="G129" s="87"/>
    </row>
    <row r="130" spans="1:36" ht="14.25" thickTop="1" thickBot="1">
      <c r="A130" s="201" t="s">
        <v>814</v>
      </c>
      <c r="B130" s="89">
        <v>9128291538.9600029</v>
      </c>
      <c r="C130" s="202">
        <v>1</v>
      </c>
      <c r="D130" s="203">
        <v>86850</v>
      </c>
      <c r="E130" s="202">
        <v>1</v>
      </c>
      <c r="F130" s="87"/>
    </row>
    <row r="131" spans="1:36" ht="13.5" thickTop="1">
      <c r="F131" s="87"/>
      <c r="G131" s="87"/>
    </row>
    <row r="132" spans="1:36">
      <c r="A132" s="178"/>
      <c r="E132" s="188"/>
      <c r="F132" s="87"/>
    </row>
    <row r="133" spans="1:36" ht="12.75" customHeight="1">
      <c r="A133" s="178"/>
      <c r="E133" s="188"/>
      <c r="F133" s="87"/>
    </row>
    <row r="134" spans="1:36">
      <c r="A134" s="178"/>
      <c r="B134" s="179"/>
      <c r="C134" s="207"/>
      <c r="D134" s="183"/>
      <c r="E134" s="207"/>
    </row>
    <row r="135" spans="1:36">
      <c r="A135" s="178"/>
      <c r="B135" s="179"/>
      <c r="C135" s="207"/>
      <c r="D135" s="183"/>
      <c r="E135" s="207"/>
      <c r="F135" s="87"/>
    </row>
    <row r="136" spans="1:36" ht="12.75" customHeight="1">
      <c r="A136" s="339" t="s">
        <v>808</v>
      </c>
      <c r="B136" s="179"/>
      <c r="C136" s="207"/>
      <c r="D136" s="183"/>
      <c r="E136" s="207"/>
      <c r="F136" s="87"/>
      <c r="G136" s="340" t="s">
        <v>718</v>
      </c>
      <c r="H136" s="83"/>
      <c r="I136" s="50"/>
      <c r="J136" s="83"/>
      <c r="K136" s="188"/>
    </row>
    <row r="137" spans="1:36" s="37" customFormat="1" ht="25.5">
      <c r="A137" s="196" t="s">
        <v>809</v>
      </c>
      <c r="B137" s="197" t="s">
        <v>935</v>
      </c>
      <c r="C137" s="198" t="s">
        <v>991</v>
      </c>
      <c r="D137" s="197" t="s">
        <v>882</v>
      </c>
      <c r="E137" s="198" t="s">
        <v>991</v>
      </c>
      <c r="F137" s="48"/>
      <c r="G137" s="667"/>
      <c r="H137" s="197" t="s">
        <v>934</v>
      </c>
      <c r="I137" s="198" t="s">
        <v>991</v>
      </c>
      <c r="J137" s="197" t="s">
        <v>992</v>
      </c>
      <c r="K137" s="198" t="s">
        <v>991</v>
      </c>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row>
    <row r="138" spans="1:36" ht="12.75" customHeight="1">
      <c r="A138" s="83" t="s">
        <v>64</v>
      </c>
      <c r="B138" s="83">
        <v>656967834.13</v>
      </c>
      <c r="C138" s="199">
        <v>7.1970514014153567E-2</v>
      </c>
      <c r="D138" s="200">
        <v>6543</v>
      </c>
      <c r="E138" s="199">
        <v>7.5336787564766833E-2</v>
      </c>
      <c r="G138" s="192" t="s">
        <v>864</v>
      </c>
      <c r="H138" s="262">
        <v>444645071.69</v>
      </c>
      <c r="I138" s="205">
        <v>4.8710656292279109E-2</v>
      </c>
      <c r="J138" s="263">
        <v>4859</v>
      </c>
      <c r="K138" s="205">
        <v>5.5947035118019572E-2</v>
      </c>
    </row>
    <row r="139" spans="1:36" ht="12.75" customHeight="1">
      <c r="A139" s="83" t="s">
        <v>65</v>
      </c>
      <c r="B139" s="83">
        <v>471687916.60000002</v>
      </c>
      <c r="C139" s="199">
        <v>5.1673187100435246E-2</v>
      </c>
      <c r="D139" s="200">
        <v>5281</v>
      </c>
      <c r="E139" s="199">
        <v>6.0805987334484744E-2</v>
      </c>
      <c r="G139" s="193" t="s">
        <v>865</v>
      </c>
      <c r="H139" s="209">
        <v>3260543034.1799998</v>
      </c>
      <c r="I139" s="199">
        <v>0.35719093986687883</v>
      </c>
      <c r="J139" s="210">
        <v>24261</v>
      </c>
      <c r="K139" s="199">
        <v>0.27934369602763387</v>
      </c>
    </row>
    <row r="140" spans="1:36" ht="12.75" customHeight="1">
      <c r="A140" s="83" t="s">
        <v>66</v>
      </c>
      <c r="B140" s="83">
        <v>989958241.69000006</v>
      </c>
      <c r="C140" s="199">
        <v>0.10844945491331093</v>
      </c>
      <c r="D140" s="200">
        <v>6251</v>
      </c>
      <c r="E140" s="199">
        <v>7.1974668969487621E-2</v>
      </c>
      <c r="G140" s="193" t="s">
        <v>866</v>
      </c>
      <c r="H140" s="209">
        <v>853079935.70000005</v>
      </c>
      <c r="I140" s="199">
        <v>9.3454501541609697E-2</v>
      </c>
      <c r="J140" s="210">
        <v>7963</v>
      </c>
      <c r="K140" s="199">
        <v>9.1686816350028788E-2</v>
      </c>
    </row>
    <row r="141" spans="1:36">
      <c r="A141" s="83" t="s">
        <v>67</v>
      </c>
      <c r="B141" s="83">
        <v>285344967.13999999</v>
      </c>
      <c r="C141" s="199">
        <v>3.12594055439765E-2</v>
      </c>
      <c r="D141" s="200">
        <v>3577</v>
      </c>
      <c r="E141" s="199">
        <v>4.118595279217041E-2</v>
      </c>
      <c r="G141" s="193" t="s">
        <v>867</v>
      </c>
      <c r="H141" s="209">
        <v>2760083364.1999998</v>
      </c>
      <c r="I141" s="199">
        <v>0.30236582085703856</v>
      </c>
      <c r="J141" s="210">
        <v>29217</v>
      </c>
      <c r="K141" s="199">
        <v>0.3364075993091537</v>
      </c>
    </row>
    <row r="142" spans="1:36">
      <c r="A142" s="83" t="s">
        <v>68</v>
      </c>
      <c r="B142" s="83">
        <v>757632022.37</v>
      </c>
      <c r="C142" s="199">
        <v>8.299822799659598E-2</v>
      </c>
      <c r="D142" s="200">
        <v>8561</v>
      </c>
      <c r="E142" s="199">
        <v>9.8572251007484166E-2</v>
      </c>
      <c r="G142" s="193" t="s">
        <v>868</v>
      </c>
      <c r="H142" s="209">
        <v>1809940133.1900001</v>
      </c>
      <c r="I142" s="199">
        <v>0.19827808144219389</v>
      </c>
      <c r="J142" s="210">
        <v>20550</v>
      </c>
      <c r="K142" s="199">
        <v>0.23661485319516407</v>
      </c>
    </row>
    <row r="143" spans="1:36" ht="13.5" thickBot="1">
      <c r="A143" s="83" t="s">
        <v>69</v>
      </c>
      <c r="B143" s="83">
        <v>244813595.69999999</v>
      </c>
      <c r="C143" s="199">
        <v>2.6819213064692718E-2</v>
      </c>
      <c r="D143" s="200">
        <v>2926</v>
      </c>
      <c r="E143" s="199">
        <v>3.3690270581462289E-2</v>
      </c>
      <c r="G143" s="201" t="s">
        <v>814</v>
      </c>
      <c r="H143" s="89">
        <v>9128291538.9599991</v>
      </c>
      <c r="I143" s="202">
        <v>1</v>
      </c>
      <c r="J143" s="203">
        <v>86850</v>
      </c>
      <c r="K143" s="202">
        <v>1</v>
      </c>
    </row>
    <row r="144" spans="1:36" ht="13.5" thickTop="1">
      <c r="A144" s="83" t="s">
        <v>70</v>
      </c>
      <c r="B144" s="83">
        <v>3444992037.1999998</v>
      </c>
      <c r="C144" s="199">
        <v>0.37739724049090717</v>
      </c>
      <c r="D144" s="200">
        <v>28733</v>
      </c>
      <c r="E144" s="199">
        <v>0.33083477259643063</v>
      </c>
    </row>
    <row r="145" spans="1:12">
      <c r="A145" s="83" t="s">
        <v>71</v>
      </c>
      <c r="B145" s="83">
        <v>772833304.80999994</v>
      </c>
      <c r="C145" s="199">
        <v>8.4663521263700789E-2</v>
      </c>
      <c r="D145" s="200">
        <v>7673</v>
      </c>
      <c r="E145" s="199">
        <v>8.8347725964306276E-2</v>
      </c>
    </row>
    <row r="146" spans="1:12">
      <c r="A146" s="83" t="s">
        <v>72</v>
      </c>
      <c r="B146" s="83">
        <v>357789804.79000002</v>
      </c>
      <c r="C146" s="199">
        <v>3.919570308013668E-2</v>
      </c>
      <c r="D146" s="200">
        <v>4358</v>
      </c>
      <c r="E146" s="199">
        <v>5.0178468624064478E-2</v>
      </c>
      <c r="G146" s="48"/>
      <c r="H146" s="48"/>
      <c r="I146" s="48"/>
    </row>
    <row r="147" spans="1:12">
      <c r="A147" s="83" t="s">
        <v>73</v>
      </c>
      <c r="B147" s="83">
        <v>625346323.87</v>
      </c>
      <c r="C147" s="199">
        <v>6.8506392592851684E-2</v>
      </c>
      <c r="D147" s="200">
        <v>6851</v>
      </c>
      <c r="E147" s="199">
        <v>7.8883131836499712E-2</v>
      </c>
      <c r="F147" s="214"/>
      <c r="G147" s="48"/>
      <c r="H147" s="48"/>
      <c r="I147" s="48"/>
    </row>
    <row r="148" spans="1:12">
      <c r="A148" s="83" t="s">
        <v>74</v>
      </c>
      <c r="B148" s="83">
        <v>520925490.66000003</v>
      </c>
      <c r="C148" s="199">
        <v>5.7067139939238828E-2</v>
      </c>
      <c r="D148" s="200">
        <v>6096</v>
      </c>
      <c r="E148" s="199">
        <v>7.0189982728842831E-2</v>
      </c>
      <c r="F148" s="181"/>
      <c r="G148" s="87"/>
      <c r="H148" s="87"/>
      <c r="I148" s="87"/>
    </row>
    <row r="149" spans="1:12" ht="13.5" thickBot="1">
      <c r="A149" s="201" t="s">
        <v>814</v>
      </c>
      <c r="B149" s="89">
        <v>9128291538.9599991</v>
      </c>
      <c r="C149" s="202">
        <v>1</v>
      </c>
      <c r="D149" s="203">
        <v>86850</v>
      </c>
      <c r="E149" s="202">
        <v>1</v>
      </c>
      <c r="G149" s="87"/>
      <c r="H149" s="87"/>
      <c r="I149" s="87"/>
    </row>
    <row r="150" spans="1:12" ht="13.5" thickTop="1">
      <c r="A150" s="201"/>
      <c r="B150" s="233"/>
      <c r="C150" s="207"/>
      <c r="D150" s="234"/>
      <c r="E150" s="207"/>
      <c r="G150" s="87"/>
      <c r="H150" s="87"/>
      <c r="I150" s="87"/>
    </row>
    <row r="151" spans="1:12">
      <c r="A151" s="201"/>
      <c r="B151" s="233"/>
      <c r="C151" s="207"/>
      <c r="D151" s="234"/>
      <c r="E151" s="207"/>
      <c r="G151" s="87"/>
      <c r="H151" s="87"/>
      <c r="I151" s="87"/>
    </row>
    <row r="152" spans="1:12">
      <c r="A152" s="201"/>
      <c r="B152" s="233"/>
      <c r="C152" s="207"/>
      <c r="D152" s="234"/>
      <c r="E152" s="207"/>
      <c r="G152" s="87"/>
      <c r="H152" s="87"/>
      <c r="I152" s="87"/>
    </row>
    <row r="153" spans="1:12">
      <c r="C153" s="206"/>
      <c r="E153" s="206"/>
      <c r="F153" s="48"/>
    </row>
    <row r="154" spans="1:12" ht="15.75">
      <c r="A154" s="340" t="s">
        <v>810</v>
      </c>
      <c r="B154" s="219"/>
      <c r="C154" s="220"/>
      <c r="D154" s="219"/>
      <c r="E154" s="220"/>
      <c r="F154" s="35"/>
      <c r="G154" s="340" t="s">
        <v>815</v>
      </c>
      <c r="H154" s="183"/>
      <c r="I154" s="207"/>
      <c r="J154" s="224"/>
      <c r="K154" s="207"/>
    </row>
    <row r="155" spans="1:12" ht="25.5">
      <c r="A155" s="221" t="s">
        <v>811</v>
      </c>
      <c r="B155" s="197" t="s">
        <v>934</v>
      </c>
      <c r="C155" s="198" t="s">
        <v>991</v>
      </c>
      <c r="D155" s="197" t="s">
        <v>882</v>
      </c>
      <c r="E155" s="198" t="s">
        <v>991</v>
      </c>
      <c r="F155" s="217"/>
      <c r="G155" s="228" t="s">
        <v>816</v>
      </c>
      <c r="H155" s="197" t="s">
        <v>934</v>
      </c>
      <c r="I155" s="198" t="s">
        <v>991</v>
      </c>
      <c r="J155" s="229" t="s">
        <v>992</v>
      </c>
      <c r="K155" s="198" t="s">
        <v>991</v>
      </c>
    </row>
    <row r="156" spans="1:12">
      <c r="A156" s="541" t="s">
        <v>883</v>
      </c>
      <c r="B156" s="83">
        <v>189822829.31</v>
      </c>
      <c r="C156" s="206">
        <v>2.0795000740261943E-2</v>
      </c>
      <c r="D156" s="200">
        <v>5151</v>
      </c>
      <c r="E156" s="206">
        <v>5.9309153713298791E-2</v>
      </c>
      <c r="F156" s="35"/>
      <c r="G156" s="541" t="s">
        <v>883</v>
      </c>
      <c r="H156" s="542">
        <v>189822829.31</v>
      </c>
      <c r="I156" s="230">
        <v>2.0795000740261943E-2</v>
      </c>
      <c r="J156" s="200">
        <v>5151</v>
      </c>
      <c r="K156" s="230">
        <v>5.9309153713298791E-2</v>
      </c>
    </row>
    <row r="157" spans="1:12" ht="13.5" customHeight="1">
      <c r="A157" s="541" t="s">
        <v>884</v>
      </c>
      <c r="B157" s="83">
        <v>530235919.11000001</v>
      </c>
      <c r="C157" s="206">
        <v>5.8087092951285238E-2</v>
      </c>
      <c r="D157" s="200">
        <v>9267</v>
      </c>
      <c r="E157" s="206">
        <v>0.10670120898100173</v>
      </c>
      <c r="F157" s="217"/>
      <c r="G157" s="541" t="s">
        <v>884</v>
      </c>
      <c r="H157" s="542">
        <v>530235919.11000001</v>
      </c>
      <c r="I157" s="230">
        <v>5.8087092951285238E-2</v>
      </c>
      <c r="J157" s="200">
        <v>9267</v>
      </c>
      <c r="K157" s="230">
        <v>0.10670120898100173</v>
      </c>
    </row>
    <row r="158" spans="1:12" ht="13.5" customHeight="1">
      <c r="A158" s="541" t="s">
        <v>885</v>
      </c>
      <c r="B158" s="83">
        <v>934158174.39999998</v>
      </c>
      <c r="C158" s="206">
        <v>0.1023365840598941</v>
      </c>
      <c r="D158" s="200">
        <v>12621</v>
      </c>
      <c r="E158" s="206">
        <v>0.1453195164075993</v>
      </c>
      <c r="F158" s="35"/>
      <c r="G158" s="541" t="s">
        <v>885</v>
      </c>
      <c r="H158" s="542">
        <v>934158174.39999998</v>
      </c>
      <c r="I158" s="230">
        <v>0.1023365840598941</v>
      </c>
      <c r="J158" s="200">
        <v>12621</v>
      </c>
      <c r="K158" s="230">
        <v>0.1453195164075993</v>
      </c>
    </row>
    <row r="159" spans="1:12" ht="13.5" customHeight="1">
      <c r="A159" s="541" t="s">
        <v>886</v>
      </c>
      <c r="B159" s="83">
        <v>1316323117.5799999</v>
      </c>
      <c r="C159" s="206">
        <v>0.14420257196671116</v>
      </c>
      <c r="D159" s="200">
        <v>14189</v>
      </c>
      <c r="E159" s="206">
        <v>0.16337363270005756</v>
      </c>
      <c r="F159" s="216"/>
      <c r="G159" s="541" t="s">
        <v>886</v>
      </c>
      <c r="H159" s="542">
        <v>1316323117.5799999</v>
      </c>
      <c r="I159" s="230">
        <v>0.14420257196671116</v>
      </c>
      <c r="J159" s="200">
        <v>14189</v>
      </c>
      <c r="K159" s="230">
        <v>0.16337363270005756</v>
      </c>
      <c r="L159" s="64"/>
    </row>
    <row r="160" spans="1:12" ht="13.5" customHeight="1">
      <c r="A160" s="541" t="s">
        <v>887</v>
      </c>
      <c r="B160" s="83">
        <v>1801495591.6700001</v>
      </c>
      <c r="C160" s="206">
        <v>0.19735298593182832</v>
      </c>
      <c r="D160" s="200">
        <v>15439</v>
      </c>
      <c r="E160" s="206">
        <v>0.17776626367299941</v>
      </c>
      <c r="F160" s="216"/>
      <c r="G160" s="541" t="s">
        <v>887</v>
      </c>
      <c r="H160" s="542">
        <v>1801495591.6700001</v>
      </c>
      <c r="I160" s="230">
        <v>0.19735298593182832</v>
      </c>
      <c r="J160" s="200">
        <v>15439</v>
      </c>
      <c r="K160" s="230">
        <v>0.17776626367299941</v>
      </c>
    </row>
    <row r="161" spans="1:11" ht="13.5" customHeight="1">
      <c r="A161" s="541" t="s">
        <v>888</v>
      </c>
      <c r="B161" s="83">
        <v>1524959317.1099999</v>
      </c>
      <c r="C161" s="206">
        <v>0.16705856847378267</v>
      </c>
      <c r="D161" s="200">
        <v>11455</v>
      </c>
      <c r="E161" s="206">
        <v>0.13189407023603913</v>
      </c>
      <c r="F161" s="216"/>
      <c r="G161" s="541" t="s">
        <v>888</v>
      </c>
      <c r="H161" s="542">
        <v>1524959317.1099999</v>
      </c>
      <c r="I161" s="230">
        <v>0.16705856847378267</v>
      </c>
      <c r="J161" s="200">
        <v>11455</v>
      </c>
      <c r="K161" s="230">
        <v>0.13189407023603913</v>
      </c>
    </row>
    <row r="162" spans="1:11" ht="12.75" customHeight="1">
      <c r="A162" s="541" t="s">
        <v>889</v>
      </c>
      <c r="B162" s="83">
        <v>2001674307.8099999</v>
      </c>
      <c r="C162" s="206">
        <v>0.21928246915282615</v>
      </c>
      <c r="D162" s="200">
        <v>13096</v>
      </c>
      <c r="E162" s="206">
        <v>0.15078871617731721</v>
      </c>
      <c r="F162" s="35"/>
      <c r="G162" s="541" t="s">
        <v>889</v>
      </c>
      <c r="H162" s="542">
        <v>2001674307.8099999</v>
      </c>
      <c r="I162" s="230">
        <v>0.21928246915282615</v>
      </c>
      <c r="J162" s="200">
        <v>13096</v>
      </c>
      <c r="K162" s="230">
        <v>0.15078871617731721</v>
      </c>
    </row>
    <row r="163" spans="1:11">
      <c r="A163" s="541" t="s">
        <v>890</v>
      </c>
      <c r="B163" s="83">
        <v>816311009.22000003</v>
      </c>
      <c r="C163" s="206">
        <v>8.942648311964449E-2</v>
      </c>
      <c r="D163" s="200">
        <v>5552</v>
      </c>
      <c r="E163" s="206">
        <v>6.392630972941854E-2</v>
      </c>
      <c r="F163" s="35"/>
      <c r="G163" s="541" t="s">
        <v>890</v>
      </c>
      <c r="H163" s="542">
        <v>816311009.22000003</v>
      </c>
      <c r="I163" s="230">
        <v>8.942648311964449E-2</v>
      </c>
      <c r="J163" s="200">
        <v>5552</v>
      </c>
      <c r="K163" s="230">
        <v>6.392630972941854E-2</v>
      </c>
    </row>
    <row r="164" spans="1:11" ht="13.5" customHeight="1">
      <c r="A164" s="541" t="s">
        <v>813</v>
      </c>
      <c r="B164" s="83">
        <v>13311272.75</v>
      </c>
      <c r="C164" s="206">
        <v>1.4582436037660312E-3</v>
      </c>
      <c r="D164" s="200">
        <v>80</v>
      </c>
      <c r="E164" s="206">
        <v>9.2112838226827867E-4</v>
      </c>
      <c r="F164" s="35"/>
      <c r="G164" s="541" t="s">
        <v>813</v>
      </c>
      <c r="H164" s="542">
        <v>13311272.75</v>
      </c>
      <c r="I164" s="230">
        <v>1.4582436037660312E-3</v>
      </c>
      <c r="J164" s="200">
        <v>80</v>
      </c>
      <c r="K164" s="230">
        <v>9.2112838226827867E-4</v>
      </c>
    </row>
    <row r="165" spans="1:11" ht="13.5" customHeight="1" thickBot="1">
      <c r="A165" s="201" t="s">
        <v>814</v>
      </c>
      <c r="B165" s="89">
        <v>9128291538.9599991</v>
      </c>
      <c r="C165" s="202">
        <v>1</v>
      </c>
      <c r="D165" s="203">
        <v>86850</v>
      </c>
      <c r="E165" s="202">
        <v>1</v>
      </c>
      <c r="F165" s="35"/>
      <c r="G165" s="201" t="s">
        <v>814</v>
      </c>
      <c r="H165" s="89">
        <v>9128291538.9599991</v>
      </c>
      <c r="I165" s="202">
        <v>1</v>
      </c>
      <c r="J165" s="203">
        <v>86850</v>
      </c>
      <c r="K165" s="202">
        <v>1</v>
      </c>
    </row>
    <row r="166" spans="1:11" ht="13.5" customHeight="1" thickTop="1">
      <c r="A166" s="90"/>
      <c r="B166" s="183"/>
      <c r="C166" s="207"/>
      <c r="D166" s="224"/>
      <c r="E166" s="207"/>
      <c r="F166" s="35"/>
    </row>
    <row r="167" spans="1:11" ht="13.5" customHeight="1">
      <c r="A167" s="90"/>
      <c r="B167" s="183"/>
      <c r="C167" s="207"/>
      <c r="D167" s="224"/>
      <c r="E167" s="207"/>
      <c r="F167" s="35"/>
    </row>
    <row r="168" spans="1:11">
      <c r="A168" s="90"/>
      <c r="B168" s="183"/>
      <c r="C168" s="207"/>
      <c r="D168" s="183"/>
      <c r="E168" s="207"/>
      <c r="F168" s="216"/>
    </row>
    <row r="169" spans="1:11" ht="15" customHeight="1">
      <c r="A169" s="340" t="s">
        <v>93</v>
      </c>
      <c r="B169" s="183"/>
      <c r="C169" s="207"/>
      <c r="D169" s="183"/>
      <c r="E169" s="207"/>
      <c r="F169" s="216"/>
      <c r="G169" s="340" t="s">
        <v>95</v>
      </c>
      <c r="H169" s="83"/>
      <c r="I169" s="206"/>
      <c r="J169" s="83"/>
      <c r="K169" s="206"/>
    </row>
    <row r="170" spans="1:11" ht="12.75" customHeight="1">
      <c r="A170" s="232" t="s">
        <v>94</v>
      </c>
      <c r="B170" s="197" t="s">
        <v>934</v>
      </c>
      <c r="C170" s="198" t="s">
        <v>991</v>
      </c>
      <c r="D170" s="197" t="s">
        <v>992</v>
      </c>
      <c r="E170" s="198" t="s">
        <v>991</v>
      </c>
      <c r="F170" s="216"/>
      <c r="G170" s="54" t="s">
        <v>720</v>
      </c>
      <c r="H170" s="197" t="s">
        <v>934</v>
      </c>
      <c r="I170" s="198" t="s">
        <v>991</v>
      </c>
      <c r="J170" s="197" t="s">
        <v>882</v>
      </c>
      <c r="K170" s="198" t="s">
        <v>991</v>
      </c>
    </row>
    <row r="171" spans="1:11" ht="15" customHeight="1">
      <c r="A171" s="541" t="s">
        <v>817</v>
      </c>
      <c r="B171" s="209">
        <v>214620960.13999999</v>
      </c>
      <c r="C171" s="206">
        <v>2.3511624187723096E-2</v>
      </c>
      <c r="D171" s="210">
        <v>5249</v>
      </c>
      <c r="E171" s="206">
        <v>6.0437535981577431E-2</v>
      </c>
      <c r="F171" s="216"/>
      <c r="G171" s="241" t="s">
        <v>812</v>
      </c>
      <c r="H171" s="83">
        <v>372515826.58999997</v>
      </c>
      <c r="I171" s="206">
        <v>4.0808931769990467E-2</v>
      </c>
      <c r="J171" s="200">
        <v>10692</v>
      </c>
      <c r="K171" s="206">
        <v>0.12310880829015544</v>
      </c>
    </row>
    <row r="172" spans="1:11" ht="15" customHeight="1">
      <c r="A172" s="541" t="s">
        <v>884</v>
      </c>
      <c r="B172" s="209">
        <v>568107672.84000003</v>
      </c>
      <c r="C172" s="206">
        <v>6.2235925574384697E-2</v>
      </c>
      <c r="D172" s="210">
        <v>9705</v>
      </c>
      <c r="E172" s="206">
        <v>0.11174438687392055</v>
      </c>
      <c r="F172" s="35"/>
      <c r="G172" s="241" t="s">
        <v>884</v>
      </c>
      <c r="H172" s="83">
        <v>658453252.87</v>
      </c>
      <c r="I172" s="206">
        <v>7.2133240931196038E-2</v>
      </c>
      <c r="J172" s="200">
        <v>10155</v>
      </c>
      <c r="K172" s="206">
        <v>0.11692573402417962</v>
      </c>
    </row>
    <row r="173" spans="1:11" ht="15" customHeight="1">
      <c r="A173" s="541" t="s">
        <v>885</v>
      </c>
      <c r="B173" s="209">
        <v>1001626716.2</v>
      </c>
      <c r="C173" s="206">
        <v>0.10972773075060188</v>
      </c>
      <c r="D173" s="210">
        <v>13322</v>
      </c>
      <c r="E173" s="206">
        <v>0.15339090385722509</v>
      </c>
      <c r="G173" s="241" t="s">
        <v>885</v>
      </c>
      <c r="H173" s="83">
        <v>972236174.63999999</v>
      </c>
      <c r="I173" s="206">
        <v>0.10650801089014826</v>
      </c>
      <c r="J173" s="200">
        <v>11799</v>
      </c>
      <c r="K173" s="206">
        <v>0.13585492227979273</v>
      </c>
    </row>
    <row r="174" spans="1:11" ht="15" customHeight="1">
      <c r="A174" s="541" t="s">
        <v>886</v>
      </c>
      <c r="B174" s="209">
        <v>1384108056.4100001</v>
      </c>
      <c r="C174" s="206">
        <v>0.15162837980169219</v>
      </c>
      <c r="D174" s="210">
        <v>14596</v>
      </c>
      <c r="E174" s="206">
        <v>0.16805987334484743</v>
      </c>
      <c r="F174" s="48"/>
      <c r="G174" s="241" t="s">
        <v>886</v>
      </c>
      <c r="H174" s="83">
        <v>1274727773.7</v>
      </c>
      <c r="I174" s="206">
        <v>0.1396458218122634</v>
      </c>
      <c r="J174" s="200">
        <v>12590</v>
      </c>
      <c r="K174" s="206">
        <v>0.14496257915947036</v>
      </c>
    </row>
    <row r="175" spans="1:11">
      <c r="A175" s="541" t="s">
        <v>887</v>
      </c>
      <c r="B175" s="209">
        <v>1815092509.7</v>
      </c>
      <c r="C175" s="206">
        <v>0.1988425218402694</v>
      </c>
      <c r="D175" s="210">
        <v>15265</v>
      </c>
      <c r="E175" s="206">
        <v>0.17576280944156591</v>
      </c>
      <c r="F175" s="87"/>
      <c r="G175" s="241" t="s">
        <v>887</v>
      </c>
      <c r="H175" s="83">
        <v>1457274643.5899999</v>
      </c>
      <c r="I175" s="206">
        <v>0.15964374465586242</v>
      </c>
      <c r="J175" s="200">
        <v>12168</v>
      </c>
      <c r="K175" s="206">
        <v>0.14010362694300518</v>
      </c>
    </row>
    <row r="176" spans="1:11">
      <c r="A176" s="543" t="s">
        <v>888</v>
      </c>
      <c r="B176" s="209">
        <v>1460609927.6099999</v>
      </c>
      <c r="C176" s="206">
        <v>0.16000912343520632</v>
      </c>
      <c r="D176" s="210">
        <v>10854</v>
      </c>
      <c r="E176" s="206">
        <v>0.1249740932642487</v>
      </c>
      <c r="F176" s="87"/>
      <c r="G176" s="261" t="s">
        <v>888</v>
      </c>
      <c r="H176" s="83">
        <v>1385095033.29</v>
      </c>
      <c r="I176" s="206">
        <v>0.15173650264984917</v>
      </c>
      <c r="J176" s="200">
        <v>10085</v>
      </c>
      <c r="K176" s="206">
        <v>0.11611974668969488</v>
      </c>
    </row>
    <row r="177" spans="1:36">
      <c r="A177" s="541" t="s">
        <v>889</v>
      </c>
      <c r="B177" s="209">
        <v>1904241445.3599999</v>
      </c>
      <c r="C177" s="206">
        <v>0.20860874537503576</v>
      </c>
      <c r="D177" s="210">
        <v>12427</v>
      </c>
      <c r="E177" s="206">
        <v>0.14308578008059875</v>
      </c>
      <c r="F177" s="181"/>
      <c r="G177" s="241" t="s">
        <v>889</v>
      </c>
      <c r="H177" s="83">
        <v>1325701573.9400001</v>
      </c>
      <c r="I177" s="206">
        <v>0.14522997740396876</v>
      </c>
      <c r="J177" s="200">
        <v>8783</v>
      </c>
      <c r="K177" s="206">
        <v>0.10112838226827864</v>
      </c>
    </row>
    <row r="178" spans="1:36">
      <c r="A178" s="541" t="s">
        <v>890</v>
      </c>
      <c r="B178" s="209">
        <v>736491337.37</v>
      </c>
      <c r="C178" s="206">
        <v>8.0682276001661279E-2</v>
      </c>
      <c r="D178" s="210">
        <v>5151</v>
      </c>
      <c r="E178" s="206">
        <v>5.9309153713298791E-2</v>
      </c>
      <c r="F178" s="181"/>
      <c r="G178" s="241" t="s">
        <v>890</v>
      </c>
      <c r="H178" s="83">
        <v>1031027818.99</v>
      </c>
      <c r="I178" s="206">
        <v>0.11294860758878286</v>
      </c>
      <c r="J178" s="200">
        <v>6406</v>
      </c>
      <c r="K178" s="206">
        <v>7.375935521013241E-2</v>
      </c>
    </row>
    <row r="179" spans="1:36">
      <c r="A179" s="541" t="s">
        <v>813</v>
      </c>
      <c r="B179" s="209">
        <v>43392913.329999998</v>
      </c>
      <c r="C179" s="206">
        <v>4.7536730334254663E-3</v>
      </c>
      <c r="D179" s="210">
        <v>281</v>
      </c>
      <c r="E179" s="206">
        <v>3.2354634427173286E-3</v>
      </c>
      <c r="G179" s="241" t="s">
        <v>813</v>
      </c>
      <c r="H179" s="83">
        <v>651259441.35000002</v>
      </c>
      <c r="I179" s="206">
        <v>7.1345162297938497E-2</v>
      </c>
      <c r="J179" s="200">
        <v>4172</v>
      </c>
      <c r="K179" s="206">
        <v>4.8036845135290732E-2</v>
      </c>
    </row>
    <row r="180" spans="1:36" ht="13.5" thickBot="1">
      <c r="A180" s="201" t="s">
        <v>814</v>
      </c>
      <c r="B180" s="257">
        <v>9128291538.9599991</v>
      </c>
      <c r="C180" s="202">
        <v>1</v>
      </c>
      <c r="D180" s="239">
        <v>86850</v>
      </c>
      <c r="E180" s="202">
        <v>1</v>
      </c>
      <c r="G180" s="201" t="s">
        <v>814</v>
      </c>
      <c r="H180" s="89">
        <v>9128291538.960001</v>
      </c>
      <c r="I180" s="202">
        <v>1</v>
      </c>
      <c r="J180" s="203">
        <v>86850</v>
      </c>
      <c r="K180" s="202">
        <v>1</v>
      </c>
    </row>
    <row r="181" spans="1:36" ht="12" customHeight="1" thickTop="1">
      <c r="A181" s="223"/>
      <c r="B181" s="233"/>
      <c r="C181" s="207"/>
      <c r="D181" s="234"/>
      <c r="E181" s="207"/>
    </row>
    <row r="182" spans="1:36">
      <c r="C182" s="206"/>
      <c r="E182" s="206"/>
    </row>
    <row r="183" spans="1:36">
      <c r="A183" s="235"/>
      <c r="B183" s="183"/>
      <c r="C183" s="207"/>
      <c r="D183" s="224"/>
      <c r="E183" s="207"/>
    </row>
    <row r="184" spans="1:36" ht="15.75">
      <c r="A184" s="340" t="s">
        <v>930</v>
      </c>
      <c r="B184" s="183"/>
      <c r="C184" s="207"/>
      <c r="D184" s="224"/>
      <c r="E184" s="207"/>
      <c r="G184" s="340" t="s">
        <v>598</v>
      </c>
      <c r="J184" s="193"/>
    </row>
    <row r="185" spans="1:36" s="37" customFormat="1" ht="25.5">
      <c r="A185" s="228" t="s">
        <v>637</v>
      </c>
      <c r="B185" s="197" t="s">
        <v>934</v>
      </c>
      <c r="C185" s="198" t="s">
        <v>991</v>
      </c>
      <c r="D185" s="229" t="s">
        <v>992</v>
      </c>
      <c r="E185" s="198" t="s">
        <v>991</v>
      </c>
      <c r="G185" s="196" t="s">
        <v>599</v>
      </c>
      <c r="H185" s="197" t="s">
        <v>934</v>
      </c>
      <c r="I185" s="198" t="s">
        <v>991</v>
      </c>
      <c r="J185" s="197" t="s">
        <v>992</v>
      </c>
      <c r="K185" s="198" t="s">
        <v>991</v>
      </c>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row>
    <row r="186" spans="1:36">
      <c r="A186" s="541" t="s">
        <v>150</v>
      </c>
      <c r="B186" s="83">
        <v>613329870.82000005</v>
      </c>
      <c r="C186" s="206">
        <v>6.7189995871875671E-2</v>
      </c>
      <c r="D186" s="200">
        <v>18846</v>
      </c>
      <c r="E186" s="206">
        <v>0.21699481865284975</v>
      </c>
      <c r="G186" s="541" t="s">
        <v>150</v>
      </c>
      <c r="H186" s="83">
        <v>270891225.37</v>
      </c>
      <c r="I186" s="206">
        <v>2.9676005002011913E-2</v>
      </c>
      <c r="J186" s="200">
        <v>9258</v>
      </c>
      <c r="K186" s="206">
        <v>0.10659758203799655</v>
      </c>
    </row>
    <row r="187" spans="1:36">
      <c r="A187" s="541" t="s">
        <v>969</v>
      </c>
      <c r="B187" s="83">
        <v>2443768452.1700001</v>
      </c>
      <c r="C187" s="206">
        <v>0.26771367256839629</v>
      </c>
      <c r="D187" s="200">
        <v>33057</v>
      </c>
      <c r="E187" s="206">
        <v>0.38062176165803108</v>
      </c>
      <c r="G187" s="541" t="s">
        <v>969</v>
      </c>
      <c r="H187" s="83">
        <v>2101990932.4100001</v>
      </c>
      <c r="I187" s="206">
        <v>0.23027210770368131</v>
      </c>
      <c r="J187" s="200">
        <v>33830</v>
      </c>
      <c r="K187" s="206">
        <v>0.38952216465169831</v>
      </c>
    </row>
    <row r="188" spans="1:36">
      <c r="A188" s="541" t="s">
        <v>96</v>
      </c>
      <c r="B188" s="83">
        <v>2314316102.8600001</v>
      </c>
      <c r="C188" s="206">
        <v>0.25353222922190688</v>
      </c>
      <c r="D188" s="200">
        <v>18945</v>
      </c>
      <c r="E188" s="206">
        <v>0.21813471502590673</v>
      </c>
      <c r="G188" s="541" t="s">
        <v>96</v>
      </c>
      <c r="H188" s="83">
        <v>2406756755.96</v>
      </c>
      <c r="I188" s="206">
        <v>0.26365905883788254</v>
      </c>
      <c r="J188" s="200">
        <v>22725</v>
      </c>
      <c r="K188" s="206">
        <v>0.26165803108808289</v>
      </c>
    </row>
    <row r="189" spans="1:36">
      <c r="A189" s="541" t="s">
        <v>586</v>
      </c>
      <c r="B189" s="83">
        <v>1402491028.99</v>
      </c>
      <c r="C189" s="206">
        <v>0.15364222571158018</v>
      </c>
      <c r="D189" s="200">
        <v>8183</v>
      </c>
      <c r="E189" s="206">
        <v>9.4219919401266547E-2</v>
      </c>
      <c r="G189" s="541" t="s">
        <v>586</v>
      </c>
      <c r="H189" s="83">
        <v>1607170372.8199999</v>
      </c>
      <c r="I189" s="206">
        <v>0.17606475055715706</v>
      </c>
      <c r="J189" s="200">
        <v>10682</v>
      </c>
      <c r="K189" s="206">
        <v>0.1229936672423719</v>
      </c>
    </row>
    <row r="190" spans="1:36">
      <c r="A190" s="541" t="s">
        <v>587</v>
      </c>
      <c r="B190" s="83">
        <v>762768491.55999994</v>
      </c>
      <c r="C190" s="206">
        <v>8.3560925755325213E-2</v>
      </c>
      <c r="D190" s="200">
        <v>3431</v>
      </c>
      <c r="E190" s="206">
        <v>3.9504893494530798E-2</v>
      </c>
      <c r="G190" s="541" t="s">
        <v>587</v>
      </c>
      <c r="H190" s="83">
        <v>899506179.87</v>
      </c>
      <c r="I190" s="206">
        <v>9.8540474527009023E-2</v>
      </c>
      <c r="J190" s="200">
        <v>4598</v>
      </c>
      <c r="K190" s="206">
        <v>5.2941853770869317E-2</v>
      </c>
    </row>
    <row r="191" spans="1:36">
      <c r="A191" s="541" t="s">
        <v>588</v>
      </c>
      <c r="B191" s="83">
        <v>462786603.55000001</v>
      </c>
      <c r="C191" s="206">
        <v>5.0698052486032444E-2</v>
      </c>
      <c r="D191" s="200">
        <v>1696</v>
      </c>
      <c r="E191" s="206">
        <v>1.9527921704087507E-2</v>
      </c>
      <c r="F191" s="87"/>
      <c r="G191" s="541" t="s">
        <v>588</v>
      </c>
      <c r="H191" s="83">
        <v>538950713.90999997</v>
      </c>
      <c r="I191" s="206">
        <v>5.9041794580040698E-2</v>
      </c>
      <c r="J191" s="200">
        <v>2245</v>
      </c>
      <c r="K191" s="206">
        <v>2.5849165227403569E-2</v>
      </c>
    </row>
    <row r="192" spans="1:36">
      <c r="A192" s="541" t="s">
        <v>589</v>
      </c>
      <c r="B192" s="83">
        <v>307899588.11000001</v>
      </c>
      <c r="C192" s="206">
        <v>3.3730253552471383E-2</v>
      </c>
      <c r="D192" s="200">
        <v>954</v>
      </c>
      <c r="E192" s="206">
        <v>1.0984455958549223E-2</v>
      </c>
      <c r="F192" s="87"/>
      <c r="G192" s="541" t="s">
        <v>589</v>
      </c>
      <c r="H192" s="83">
        <v>351688629.81999999</v>
      </c>
      <c r="I192" s="206">
        <v>3.8527322261671361E-2</v>
      </c>
      <c r="J192" s="200">
        <v>1237</v>
      </c>
      <c r="K192" s="206">
        <v>1.4242947610823259E-2</v>
      </c>
    </row>
    <row r="193" spans="1:256">
      <c r="A193" s="541" t="s">
        <v>590</v>
      </c>
      <c r="B193" s="83">
        <v>234254243.5</v>
      </c>
      <c r="C193" s="206">
        <v>2.5662441049367372E-2</v>
      </c>
      <c r="D193" s="200">
        <v>628</v>
      </c>
      <c r="E193" s="206">
        <v>7.2308578008059878E-3</v>
      </c>
      <c r="F193" s="87"/>
      <c r="G193" s="541" t="s">
        <v>590</v>
      </c>
      <c r="H193" s="83">
        <v>257768834.49000001</v>
      </c>
      <c r="I193" s="206">
        <v>2.8238453317340911E-2</v>
      </c>
      <c r="J193" s="200">
        <v>783</v>
      </c>
      <c r="K193" s="206">
        <v>9.0155440414507772E-3</v>
      </c>
    </row>
    <row r="194" spans="1:256">
      <c r="A194" s="541" t="s">
        <v>591</v>
      </c>
      <c r="B194" s="83">
        <v>151585843.90000001</v>
      </c>
      <c r="C194" s="206">
        <v>1.6606157160189736E-2</v>
      </c>
      <c r="D194" s="200">
        <v>358</v>
      </c>
      <c r="E194" s="206">
        <v>4.122049510650547E-3</v>
      </c>
      <c r="F194" s="87"/>
      <c r="G194" s="543" t="s">
        <v>591</v>
      </c>
      <c r="H194" s="83">
        <v>177498149.49000001</v>
      </c>
      <c r="I194" s="206">
        <v>1.9444837923112895E-2</v>
      </c>
      <c r="J194" s="200">
        <v>478</v>
      </c>
      <c r="K194" s="206">
        <v>5.5037420840529649E-3</v>
      </c>
    </row>
    <row r="195" spans="1:256">
      <c r="A195" s="541" t="s">
        <v>592</v>
      </c>
      <c r="B195" s="83">
        <v>135863795.44</v>
      </c>
      <c r="C195" s="206">
        <v>1.4883814223080691E-2</v>
      </c>
      <c r="D195" s="200">
        <v>285</v>
      </c>
      <c r="E195" s="206">
        <v>3.2815198618307427E-3</v>
      </c>
      <c r="F195" s="87"/>
      <c r="G195" s="541" t="s">
        <v>592</v>
      </c>
      <c r="H195" s="83">
        <v>166885391.22</v>
      </c>
      <c r="I195" s="206">
        <v>1.8282215298199546E-2</v>
      </c>
      <c r="J195" s="200">
        <v>396</v>
      </c>
      <c r="K195" s="206">
        <v>4.5595854922279794E-3</v>
      </c>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c r="CI195" s="82"/>
      <c r="CJ195" s="82"/>
      <c r="CK195" s="82"/>
      <c r="CL195" s="82"/>
      <c r="CM195" s="82"/>
      <c r="CN195" s="82"/>
      <c r="CO195" s="82"/>
      <c r="CP195" s="82"/>
      <c r="CQ195" s="82"/>
      <c r="CR195" s="82"/>
      <c r="CS195" s="82"/>
      <c r="CT195" s="82"/>
      <c r="CU195" s="82"/>
      <c r="CV195" s="82"/>
      <c r="CW195" s="82"/>
      <c r="CX195" s="82"/>
      <c r="CY195" s="82"/>
      <c r="CZ195" s="82"/>
      <c r="DA195" s="82"/>
      <c r="DB195" s="82"/>
      <c r="DC195" s="82"/>
      <c r="DD195" s="82"/>
      <c r="DE195" s="82"/>
      <c r="DF195" s="82"/>
      <c r="DG195" s="82"/>
      <c r="DH195" s="82"/>
      <c r="DI195" s="82"/>
      <c r="DJ195" s="82"/>
      <c r="DK195" s="82"/>
      <c r="DL195" s="82"/>
      <c r="DM195" s="82"/>
      <c r="DN195" s="82"/>
      <c r="DO195" s="82"/>
      <c r="DP195" s="82"/>
      <c r="DQ195" s="82"/>
      <c r="DR195" s="82"/>
      <c r="DS195" s="82"/>
      <c r="DT195" s="82"/>
      <c r="DU195" s="82"/>
      <c r="DV195" s="82"/>
      <c r="DW195" s="82"/>
      <c r="DX195" s="82"/>
      <c r="DY195" s="82"/>
      <c r="DZ195" s="82"/>
      <c r="EA195" s="82"/>
      <c r="EB195" s="82"/>
      <c r="EC195" s="82"/>
      <c r="ED195" s="82"/>
      <c r="EE195" s="82"/>
      <c r="EF195" s="82"/>
      <c r="EG195" s="82"/>
      <c r="EH195" s="82"/>
      <c r="EI195" s="82"/>
      <c r="EJ195" s="82"/>
      <c r="EK195" s="82"/>
      <c r="EL195" s="82"/>
      <c r="EM195" s="82"/>
      <c r="EN195" s="82"/>
      <c r="EO195" s="82"/>
      <c r="EP195" s="82"/>
      <c r="EQ195" s="82"/>
      <c r="ER195" s="82"/>
      <c r="ES195" s="82"/>
      <c r="ET195" s="82"/>
      <c r="EU195" s="82"/>
      <c r="EV195" s="82"/>
      <c r="EW195" s="82"/>
      <c r="EX195" s="82"/>
      <c r="EY195" s="82"/>
      <c r="EZ195" s="82"/>
      <c r="FA195" s="82"/>
      <c r="FB195" s="82"/>
      <c r="FC195" s="82"/>
      <c r="FD195" s="82"/>
      <c r="FE195" s="82"/>
      <c r="FF195" s="82"/>
      <c r="FG195" s="82"/>
      <c r="FH195" s="82"/>
      <c r="FI195" s="82"/>
      <c r="FJ195" s="82"/>
      <c r="FK195" s="82"/>
      <c r="FL195" s="82"/>
      <c r="FM195" s="82"/>
      <c r="FN195" s="82"/>
      <c r="FO195" s="82"/>
      <c r="FP195" s="82"/>
      <c r="FQ195" s="82"/>
      <c r="FR195" s="82"/>
      <c r="FS195" s="82"/>
      <c r="FT195" s="82"/>
      <c r="FU195" s="82"/>
      <c r="FV195" s="82"/>
      <c r="FW195" s="82"/>
      <c r="FX195" s="82"/>
      <c r="FY195" s="82"/>
      <c r="FZ195" s="82"/>
      <c r="GA195" s="82"/>
      <c r="GB195" s="82"/>
      <c r="GC195" s="82"/>
      <c r="GD195" s="82"/>
      <c r="GE195" s="82"/>
      <c r="GF195" s="82"/>
      <c r="GG195" s="82"/>
      <c r="GH195" s="82"/>
      <c r="GI195" s="82"/>
      <c r="GJ195" s="82"/>
      <c r="GK195" s="82"/>
      <c r="GL195" s="82"/>
      <c r="GM195" s="82"/>
      <c r="GN195" s="82"/>
      <c r="GO195" s="82"/>
      <c r="GP195" s="82"/>
      <c r="GQ195" s="82"/>
      <c r="GR195" s="82"/>
      <c r="GS195" s="82"/>
      <c r="GT195" s="82"/>
      <c r="GU195" s="82"/>
      <c r="GV195" s="82"/>
      <c r="GW195" s="82"/>
      <c r="GX195" s="82"/>
      <c r="GY195" s="82"/>
      <c r="GZ195" s="82"/>
      <c r="HA195" s="82"/>
      <c r="HB195" s="82"/>
      <c r="HC195" s="82"/>
      <c r="HD195" s="82"/>
      <c r="HE195" s="82"/>
      <c r="HF195" s="82"/>
      <c r="HG195" s="82"/>
      <c r="HH195" s="82"/>
      <c r="HI195" s="82"/>
      <c r="HJ195" s="82"/>
      <c r="HK195" s="82"/>
      <c r="HL195" s="82"/>
      <c r="HM195" s="82"/>
      <c r="HN195" s="82"/>
      <c r="HO195" s="82"/>
      <c r="HP195" s="82"/>
      <c r="HQ195" s="82"/>
      <c r="HR195" s="82"/>
      <c r="HS195" s="82"/>
      <c r="HT195" s="82"/>
      <c r="HU195" s="82"/>
      <c r="HV195" s="82"/>
      <c r="HW195" s="82"/>
      <c r="HX195" s="82"/>
      <c r="HY195" s="82"/>
      <c r="HZ195" s="82"/>
      <c r="IA195" s="82"/>
      <c r="IB195" s="82"/>
      <c r="IC195" s="82"/>
      <c r="ID195" s="82"/>
      <c r="IE195" s="82"/>
      <c r="IF195" s="82"/>
      <c r="IG195" s="82"/>
      <c r="IH195" s="82"/>
      <c r="II195" s="82"/>
      <c r="IJ195" s="82"/>
      <c r="IK195" s="82"/>
      <c r="IL195" s="82"/>
      <c r="IM195" s="82"/>
      <c r="IN195" s="82"/>
      <c r="IO195" s="82"/>
      <c r="IP195" s="82"/>
      <c r="IQ195" s="82"/>
      <c r="IR195" s="82"/>
      <c r="IS195" s="82"/>
      <c r="IT195" s="82"/>
      <c r="IU195" s="82"/>
      <c r="IV195" s="82"/>
    </row>
    <row r="196" spans="1:256">
      <c r="A196" s="541" t="s">
        <v>593</v>
      </c>
      <c r="B196" s="83">
        <v>125941176.61</v>
      </c>
      <c r="C196" s="206">
        <v>1.3796796045840212E-2</v>
      </c>
      <c r="D196" s="200">
        <v>232</v>
      </c>
      <c r="E196" s="206">
        <v>2.6712723085780079E-3</v>
      </c>
      <c r="F196" s="87"/>
      <c r="G196" s="541" t="s">
        <v>593</v>
      </c>
      <c r="H196" s="83">
        <v>148841479.03999999</v>
      </c>
      <c r="I196" s="206">
        <v>1.6305513293997806E-2</v>
      </c>
      <c r="J196" s="200">
        <v>307</v>
      </c>
      <c r="K196" s="206">
        <v>3.5348301669545193E-3</v>
      </c>
    </row>
    <row r="197" spans="1:256" ht="12.75" customHeight="1">
      <c r="A197" s="541" t="s">
        <v>594</v>
      </c>
      <c r="B197" s="83">
        <v>69901011.930000007</v>
      </c>
      <c r="C197" s="206">
        <v>7.657622637451819E-3</v>
      </c>
      <c r="D197" s="200">
        <v>108</v>
      </c>
      <c r="E197" s="206">
        <v>1.2435233160621761E-3</v>
      </c>
      <c r="G197" s="543" t="s">
        <v>594</v>
      </c>
      <c r="H197" s="83">
        <v>72601774.200000003</v>
      </c>
      <c r="I197" s="206">
        <v>7.9534898606307691E-3</v>
      </c>
      <c r="J197" s="200">
        <v>131</v>
      </c>
      <c r="K197" s="206">
        <v>1.5083477259643062E-3</v>
      </c>
    </row>
    <row r="198" spans="1:256" ht="12.75" customHeight="1">
      <c r="A198" s="541" t="s">
        <v>595</v>
      </c>
      <c r="B198" s="83">
        <v>51763485.859999999</v>
      </c>
      <c r="C198" s="206">
        <v>5.6706652760892739E-3</v>
      </c>
      <c r="D198" s="200">
        <v>69</v>
      </c>
      <c r="E198" s="206">
        <v>7.9447322970639038E-4</v>
      </c>
      <c r="F198" s="87"/>
      <c r="G198" s="541" t="s">
        <v>595</v>
      </c>
      <c r="H198" s="83">
        <v>61761659.189999998</v>
      </c>
      <c r="I198" s="206">
        <v>6.7659604128985336E-3</v>
      </c>
      <c r="J198" s="200">
        <v>96</v>
      </c>
      <c r="K198" s="206">
        <v>1.1053540587219344E-3</v>
      </c>
    </row>
    <row r="199" spans="1:256">
      <c r="A199" s="541" t="s">
        <v>596</v>
      </c>
      <c r="B199" s="83">
        <v>29956973.27</v>
      </c>
      <c r="C199" s="206">
        <v>3.2817721850953328E-3</v>
      </c>
      <c r="D199" s="200">
        <v>35</v>
      </c>
      <c r="E199" s="206">
        <v>4.029936672423719E-4</v>
      </c>
      <c r="F199" s="87"/>
      <c r="G199" s="541" t="s">
        <v>596</v>
      </c>
      <c r="H199" s="83">
        <v>34100053.810000002</v>
      </c>
      <c r="I199" s="206">
        <v>3.7356446893111687E-3</v>
      </c>
      <c r="J199" s="200">
        <v>46</v>
      </c>
      <c r="K199" s="206">
        <v>5.2964881980426025E-4</v>
      </c>
    </row>
    <row r="200" spans="1:256">
      <c r="A200" s="541" t="s">
        <v>597</v>
      </c>
      <c r="B200" s="83">
        <v>21664870.390000001</v>
      </c>
      <c r="C200" s="206">
        <v>2.373376255297419E-3</v>
      </c>
      <c r="D200" s="200">
        <v>23</v>
      </c>
      <c r="E200" s="206">
        <v>2.6482440990213013E-4</v>
      </c>
      <c r="F200" s="181"/>
      <c r="G200" s="541" t="s">
        <v>597</v>
      </c>
      <c r="H200" s="83">
        <v>31879387.359999999</v>
      </c>
      <c r="I200" s="206">
        <v>3.4923717350543847E-3</v>
      </c>
      <c r="J200" s="200">
        <v>38</v>
      </c>
      <c r="K200" s="206">
        <v>4.3753598157743236E-4</v>
      </c>
    </row>
    <row r="201" spans="1:256" ht="13.5" thickBot="1">
      <c r="A201" s="201" t="s">
        <v>814</v>
      </c>
      <c r="B201" s="89">
        <v>9128291538.960001</v>
      </c>
      <c r="C201" s="202">
        <v>1</v>
      </c>
      <c r="D201" s="203">
        <v>86850</v>
      </c>
      <c r="E201" s="202">
        <v>1</v>
      </c>
      <c r="F201" s="181"/>
      <c r="G201" s="201" t="s">
        <v>814</v>
      </c>
      <c r="H201" s="89">
        <v>9128291538.960001</v>
      </c>
      <c r="I201" s="202">
        <v>1</v>
      </c>
      <c r="J201" s="203">
        <v>86850</v>
      </c>
      <c r="K201" s="202">
        <v>1</v>
      </c>
    </row>
    <row r="202" spans="1:256" ht="13.5" thickTop="1">
      <c r="A202" s="90"/>
      <c r="B202" s="33"/>
      <c r="C202" s="33"/>
      <c r="D202" s="193"/>
      <c r="E202" s="33"/>
    </row>
    <row r="203" spans="1:256" ht="12.75" customHeight="1">
      <c r="A203" s="90"/>
      <c r="B203" s="183"/>
      <c r="C203" s="207"/>
      <c r="D203" s="183"/>
      <c r="E203" s="207"/>
    </row>
    <row r="204" spans="1:256">
      <c r="A204" s="235"/>
      <c r="B204" s="33"/>
      <c r="C204" s="33"/>
      <c r="D204" s="200"/>
      <c r="E204" s="33"/>
    </row>
    <row r="205" spans="1:256" ht="15.75">
      <c r="A205" s="340" t="s">
        <v>494</v>
      </c>
      <c r="B205" s="183"/>
      <c r="C205" s="207"/>
      <c r="D205" s="224"/>
      <c r="E205" s="207"/>
      <c r="G205" s="340" t="s">
        <v>721</v>
      </c>
      <c r="H205" s="225"/>
      <c r="I205" s="226"/>
      <c r="J205" s="227"/>
      <c r="K205" s="226"/>
    </row>
    <row r="206" spans="1:256" ht="25.5">
      <c r="A206" s="236"/>
      <c r="B206" s="197" t="s">
        <v>934</v>
      </c>
      <c r="C206" s="198" t="s">
        <v>991</v>
      </c>
      <c r="D206" s="229" t="s">
        <v>882</v>
      </c>
      <c r="E206" s="198" t="s">
        <v>991</v>
      </c>
      <c r="G206" s="232" t="s">
        <v>722</v>
      </c>
      <c r="H206" s="197" t="s">
        <v>934</v>
      </c>
      <c r="I206" s="198" t="s">
        <v>991</v>
      </c>
      <c r="J206" s="229" t="s">
        <v>992</v>
      </c>
      <c r="K206" s="198" t="s">
        <v>991</v>
      </c>
    </row>
    <row r="207" spans="1:256">
      <c r="A207" s="541" t="s">
        <v>481</v>
      </c>
      <c r="B207" s="83">
        <v>2234518223.1199999</v>
      </c>
      <c r="C207" s="206">
        <v>0.24479040941921779</v>
      </c>
      <c r="D207" s="200">
        <v>20678</v>
      </c>
      <c r="E207" s="206">
        <v>0.23808865860679332</v>
      </c>
      <c r="G207" s="222" t="s">
        <v>476</v>
      </c>
      <c r="H207" s="83">
        <v>6904535825.46</v>
      </c>
      <c r="I207" s="206">
        <v>0.75638861839492089</v>
      </c>
      <c r="J207" s="200">
        <v>70304</v>
      </c>
      <c r="K207" s="206">
        <v>0.80948762233736327</v>
      </c>
    </row>
    <row r="208" spans="1:256">
      <c r="A208" s="541" t="s">
        <v>482</v>
      </c>
      <c r="B208" s="83">
        <v>157451156.52000001</v>
      </c>
      <c r="C208" s="206">
        <v>1.7248699370302833E-2</v>
      </c>
      <c r="D208" s="200">
        <v>2319</v>
      </c>
      <c r="E208" s="206">
        <v>2.6701208981001728E-2</v>
      </c>
      <c r="G208" s="222" t="s">
        <v>600</v>
      </c>
      <c r="H208" s="83">
        <v>2223755713.5</v>
      </c>
      <c r="I208" s="206">
        <v>0.2436113816050792</v>
      </c>
      <c r="J208" s="200">
        <v>16546</v>
      </c>
      <c r="K208" s="206">
        <v>0.19051237766263673</v>
      </c>
    </row>
    <row r="209" spans="1:36" ht="12.75" customHeight="1" thickBot="1">
      <c r="A209" s="541" t="s">
        <v>483</v>
      </c>
      <c r="B209" s="83">
        <v>6736322159.3199997</v>
      </c>
      <c r="C209" s="206">
        <v>0.73796089121047947</v>
      </c>
      <c r="D209" s="200">
        <v>63853</v>
      </c>
      <c r="E209" s="206">
        <v>0.7352101324122049</v>
      </c>
      <c r="F209" s="87"/>
      <c r="G209" s="223" t="s">
        <v>814</v>
      </c>
      <c r="H209" s="89">
        <v>9128291538.9599991</v>
      </c>
      <c r="I209" s="202">
        <v>1</v>
      </c>
      <c r="J209" s="203">
        <v>86850</v>
      </c>
      <c r="K209" s="202">
        <v>1</v>
      </c>
    </row>
    <row r="210" spans="1:36" ht="13.5" customHeight="1" thickTop="1" thickBot="1">
      <c r="A210" s="201" t="s">
        <v>814</v>
      </c>
      <c r="B210" s="89">
        <v>9128291538.9599991</v>
      </c>
      <c r="C210" s="202">
        <v>1</v>
      </c>
      <c r="D210" s="203">
        <v>86850</v>
      </c>
      <c r="E210" s="202">
        <v>1</v>
      </c>
      <c r="F210" s="87"/>
    </row>
    <row r="211" spans="1:36" ht="13.5" thickTop="1">
      <c r="F211" s="87"/>
      <c r="G211" s="87"/>
    </row>
    <row r="212" spans="1:36">
      <c r="A212" s="90"/>
      <c r="B212" s="33"/>
      <c r="C212" s="33"/>
      <c r="D212" s="200"/>
      <c r="E212" s="33"/>
      <c r="F212" s="87"/>
      <c r="G212" s="87"/>
    </row>
    <row r="213" spans="1:36">
      <c r="A213" s="231"/>
      <c r="B213" s="35"/>
      <c r="C213" s="35"/>
      <c r="D213" s="222"/>
      <c r="E213" s="35"/>
      <c r="G213" s="206"/>
    </row>
    <row r="214" spans="1:36" ht="15.75">
      <c r="A214" s="340" t="s">
        <v>495</v>
      </c>
      <c r="B214" s="219"/>
      <c r="C214" s="220"/>
      <c r="D214" s="219"/>
      <c r="E214" s="220"/>
      <c r="G214" s="206"/>
    </row>
    <row r="215" spans="1:36" s="37" customFormat="1" ht="25.5">
      <c r="A215" s="666"/>
      <c r="B215" s="197" t="s">
        <v>937</v>
      </c>
      <c r="C215" s="198" t="s">
        <v>991</v>
      </c>
      <c r="D215" s="238" t="s">
        <v>938</v>
      </c>
      <c r="E215" s="198" t="s">
        <v>991</v>
      </c>
      <c r="F215" s="197" t="s">
        <v>992</v>
      </c>
      <c r="G215" s="198" t="s">
        <v>991</v>
      </c>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row>
    <row r="216" spans="1:36">
      <c r="A216" s="183" t="s">
        <v>79</v>
      </c>
      <c r="B216" s="83">
        <v>6370317728.1599998</v>
      </c>
      <c r="C216" s="206">
        <v>0.72646969779990611</v>
      </c>
      <c r="D216" s="657">
        <v>267633521.88999999</v>
      </c>
      <c r="E216" s="206">
        <v>0.74462119498094126</v>
      </c>
      <c r="F216" s="200">
        <v>63077</v>
      </c>
      <c r="G216" s="206">
        <v>0.72627518710420269</v>
      </c>
    </row>
    <row r="217" spans="1:36">
      <c r="A217" s="183" t="s">
        <v>80</v>
      </c>
      <c r="B217" s="83">
        <v>67583752</v>
      </c>
      <c r="C217" s="206">
        <v>7.7072369050899944E-3</v>
      </c>
      <c r="D217" s="657">
        <v>1684044.5</v>
      </c>
      <c r="E217" s="206">
        <v>4.6854191475553565E-3</v>
      </c>
      <c r="F217" s="200">
        <v>543</v>
      </c>
      <c r="G217" s="206">
        <v>6.2521588946459414E-3</v>
      </c>
    </row>
    <row r="218" spans="1:36">
      <c r="A218" s="183" t="s">
        <v>81</v>
      </c>
      <c r="B218" s="83">
        <v>144163270.25</v>
      </c>
      <c r="C218" s="206">
        <v>1.6440349106827665E-2</v>
      </c>
      <c r="D218" s="657">
        <v>3331481.05</v>
      </c>
      <c r="E218" s="206">
        <v>9.2689861232216984E-3</v>
      </c>
      <c r="F218" s="200">
        <v>1230</v>
      </c>
      <c r="G218" s="206">
        <v>1.4162348877374784E-2</v>
      </c>
    </row>
    <row r="219" spans="1:36">
      <c r="A219" s="183" t="s">
        <v>601</v>
      </c>
      <c r="B219" s="83">
        <v>824105629.08000004</v>
      </c>
      <c r="C219" s="206">
        <v>9.3980833117074988E-2</v>
      </c>
      <c r="D219" s="657">
        <v>44868104.210000001</v>
      </c>
      <c r="E219" s="206">
        <v>0.12483391892556468</v>
      </c>
      <c r="F219" s="200">
        <v>8816</v>
      </c>
      <c r="G219" s="206">
        <v>0.1015083477259643</v>
      </c>
    </row>
    <row r="220" spans="1:36">
      <c r="A220" s="183" t="s">
        <v>602</v>
      </c>
      <c r="B220" s="83">
        <v>1273979905.0899999</v>
      </c>
      <c r="C220" s="206">
        <v>0.1452844012101118</v>
      </c>
      <c r="D220" s="657">
        <v>38575913.670000002</v>
      </c>
      <c r="E220" s="206">
        <v>0.10732752284387999</v>
      </c>
      <c r="F220" s="200">
        <v>11875</v>
      </c>
      <c r="G220" s="206">
        <v>0.1367299942429476</v>
      </c>
    </row>
    <row r="221" spans="1:36">
      <c r="A221" s="225" t="s">
        <v>603</v>
      </c>
      <c r="B221" s="183">
        <v>88311999.379999995</v>
      </c>
      <c r="C221" s="207">
        <v>1.0071081889384015E-2</v>
      </c>
      <c r="D221" s="658">
        <v>3324325.2</v>
      </c>
      <c r="E221" s="207">
        <v>9.249076817614256E-3</v>
      </c>
      <c r="F221" s="224">
        <v>1300</v>
      </c>
      <c r="G221" s="207">
        <v>1.4968336211859529E-2</v>
      </c>
    </row>
    <row r="222" spans="1:36">
      <c r="A222" s="183" t="s">
        <v>840</v>
      </c>
      <c r="B222" s="545">
        <v>406875.28</v>
      </c>
      <c r="C222" s="50">
        <v>4.6399971605376769E-5</v>
      </c>
      <c r="D222" s="200">
        <v>4989.2</v>
      </c>
      <c r="E222" s="50">
        <v>1.3881161222867438E-5</v>
      </c>
      <c r="F222" s="546">
        <v>9</v>
      </c>
      <c r="G222" s="50">
        <v>1.0362694300518135E-4</v>
      </c>
    </row>
    <row r="223" spans="1:36" ht="13.5" thickBot="1">
      <c r="A223" s="201" t="s">
        <v>814</v>
      </c>
      <c r="B223" s="89">
        <v>8768869159.2399998</v>
      </c>
      <c r="C223" s="202">
        <v>1</v>
      </c>
      <c r="D223" s="203">
        <v>359422379.71999997</v>
      </c>
      <c r="E223" s="202">
        <v>1</v>
      </c>
      <c r="F223" s="547">
        <v>86850</v>
      </c>
      <c r="G223" s="445">
        <v>1</v>
      </c>
    </row>
    <row r="224" spans="1:36" ht="13.5" thickTop="1">
      <c r="A224" s="201"/>
      <c r="B224" s="183"/>
      <c r="C224" s="207"/>
      <c r="D224" s="224"/>
      <c r="E224" s="207"/>
      <c r="F224" s="665"/>
      <c r="G224" s="218"/>
    </row>
    <row r="225" spans="1:36" ht="15.75">
      <c r="A225" s="340" t="s">
        <v>496</v>
      </c>
      <c r="B225" s="183"/>
      <c r="C225" s="207"/>
      <c r="D225" s="183"/>
      <c r="E225" s="207"/>
      <c r="F225" s="35"/>
      <c r="G225" s="206"/>
    </row>
    <row r="226" spans="1:36" s="37" customFormat="1" ht="25.5">
      <c r="A226" s="666"/>
      <c r="B226" s="197" t="s">
        <v>939</v>
      </c>
      <c r="C226" s="198" t="s">
        <v>991</v>
      </c>
      <c r="D226" s="238" t="s">
        <v>938</v>
      </c>
      <c r="E226" s="198" t="s">
        <v>991</v>
      </c>
      <c r="F226" s="197" t="s">
        <v>992</v>
      </c>
      <c r="G226" s="198" t="s">
        <v>991</v>
      </c>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row>
    <row r="227" spans="1:36">
      <c r="A227" s="585" t="s">
        <v>80</v>
      </c>
      <c r="B227" s="584">
        <v>2941586.24</v>
      </c>
      <c r="C227" s="215">
        <v>1.3604905229963871E-3</v>
      </c>
      <c r="D227" s="659">
        <v>189621.99</v>
      </c>
      <c r="E227" s="215">
        <v>2.6202823654106022E-3</v>
      </c>
      <c r="F227" s="582">
        <v>24</v>
      </c>
      <c r="G227" s="215">
        <v>1.160653834993713E-3</v>
      </c>
    </row>
    <row r="228" spans="1:36">
      <c r="A228" s="585" t="s">
        <v>81</v>
      </c>
      <c r="B228" s="584">
        <v>113304163.67</v>
      </c>
      <c r="C228" s="215">
        <v>5.2403440971041028E-2</v>
      </c>
      <c r="D228" s="659">
        <v>2883217.33</v>
      </c>
      <c r="E228" s="215">
        <v>3.984160025662236E-2</v>
      </c>
      <c r="F228" s="582">
        <v>982</v>
      </c>
      <c r="G228" s="215">
        <v>4.7490086081826095E-2</v>
      </c>
    </row>
    <row r="229" spans="1:36">
      <c r="A229" s="233" t="s">
        <v>601</v>
      </c>
      <c r="B229" s="585">
        <v>683208308.60000002</v>
      </c>
      <c r="C229" s="206">
        <v>0.31598544229071829</v>
      </c>
      <c r="D229" s="586">
        <v>27388938.739999998</v>
      </c>
      <c r="E229" s="206">
        <v>0.37847273508591112</v>
      </c>
      <c r="F229" s="249">
        <v>6489</v>
      </c>
      <c r="G229" s="206">
        <v>0.31381178063642517</v>
      </c>
    </row>
    <row r="230" spans="1:36">
      <c r="A230" s="659" t="s">
        <v>602</v>
      </c>
      <c r="B230" s="585">
        <v>1273978283.8199999</v>
      </c>
      <c r="C230" s="206">
        <v>0.58921793897169961</v>
      </c>
      <c r="D230" s="586">
        <v>38575913.670000002</v>
      </c>
      <c r="E230" s="206">
        <v>0.53305941108994159</v>
      </c>
      <c r="F230" s="249">
        <v>11874</v>
      </c>
      <c r="G230" s="206">
        <v>0.57423348486313952</v>
      </c>
    </row>
    <row r="231" spans="1:36">
      <c r="A231" s="233" t="s">
        <v>603</v>
      </c>
      <c r="B231" s="585">
        <v>88311999.379999995</v>
      </c>
      <c r="C231" s="206">
        <v>4.0844506473946787E-2</v>
      </c>
      <c r="D231" s="586">
        <v>3324325.2</v>
      </c>
      <c r="E231" s="206">
        <v>4.5937028181436523E-2</v>
      </c>
      <c r="F231" s="249">
        <v>1300</v>
      </c>
      <c r="G231" s="206">
        <v>6.2868749395492793E-2</v>
      </c>
    </row>
    <row r="232" spans="1:36">
      <c r="A232" s="233" t="s">
        <v>840</v>
      </c>
      <c r="B232" s="585">
        <v>406875.28</v>
      </c>
      <c r="C232" s="206">
        <v>1.8818076959780088E-4</v>
      </c>
      <c r="D232" s="586">
        <v>4989.2</v>
      </c>
      <c r="E232" s="206">
        <v>6.894302067764702E-5</v>
      </c>
      <c r="F232" s="249">
        <v>9</v>
      </c>
      <c r="G232" s="206">
        <v>4.3524518812264242E-4</v>
      </c>
    </row>
    <row r="233" spans="1:36" ht="13.5" thickBot="1">
      <c r="A233" s="201" t="s">
        <v>814</v>
      </c>
      <c r="B233" s="271">
        <v>2162151216.9900002</v>
      </c>
      <c r="C233" s="202">
        <v>1</v>
      </c>
      <c r="D233" s="267">
        <v>72367006.13000001</v>
      </c>
      <c r="E233" s="202">
        <v>1</v>
      </c>
      <c r="F233" s="212">
        <v>20678</v>
      </c>
      <c r="G233" s="202">
        <v>1</v>
      </c>
    </row>
    <row r="234" spans="1:36" ht="13.5" thickTop="1">
      <c r="A234" s="90"/>
      <c r="B234" s="183"/>
      <c r="C234" s="207"/>
      <c r="D234" s="183"/>
      <c r="E234" s="207"/>
      <c r="F234" s="35"/>
      <c r="H234" s="48"/>
      <c r="I234" s="48"/>
    </row>
    <row r="235" spans="1:36">
      <c r="A235" s="90"/>
      <c r="B235" s="35"/>
      <c r="C235" s="35"/>
      <c r="D235" s="222"/>
      <c r="E235" s="35"/>
      <c r="F235" s="35"/>
    </row>
    <row r="236" spans="1:36" ht="15.75">
      <c r="A236" s="339" t="s">
        <v>841</v>
      </c>
      <c r="F236" s="48"/>
      <c r="G236" s="206"/>
    </row>
    <row r="237" spans="1:36" ht="15.75">
      <c r="A237" s="340"/>
      <c r="B237" s="35"/>
      <c r="C237" s="35"/>
      <c r="D237" s="233"/>
      <c r="E237" s="35"/>
      <c r="F237" s="35"/>
      <c r="G237" s="206"/>
    </row>
    <row r="238" spans="1:36" s="37" customFormat="1" ht="25.5">
      <c r="A238" s="666" t="s">
        <v>638</v>
      </c>
      <c r="B238" s="197" t="s">
        <v>939</v>
      </c>
      <c r="C238" s="198" t="s">
        <v>991</v>
      </c>
      <c r="D238" s="238" t="s">
        <v>938</v>
      </c>
      <c r="E238" s="198" t="s">
        <v>991</v>
      </c>
      <c r="F238" s="197" t="s">
        <v>992</v>
      </c>
      <c r="G238" s="198" t="s">
        <v>991</v>
      </c>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row>
    <row r="239" spans="1:36">
      <c r="A239" s="183" t="s">
        <v>233</v>
      </c>
      <c r="B239" s="83">
        <v>223450042.88</v>
      </c>
      <c r="C239" s="206">
        <v>0.10334616798499043</v>
      </c>
      <c r="D239" s="544">
        <v>7255640.1900000004</v>
      </c>
      <c r="E239" s="206">
        <v>0.1002617156355201</v>
      </c>
      <c r="F239" s="200">
        <v>1931</v>
      </c>
      <c r="G239" s="206">
        <v>9.3384273140535837E-2</v>
      </c>
    </row>
    <row r="240" spans="1:36">
      <c r="A240" s="183" t="s">
        <v>234</v>
      </c>
      <c r="B240" s="83">
        <v>57790179.579999998</v>
      </c>
      <c r="C240" s="206">
        <v>2.6728093357157305E-2</v>
      </c>
      <c r="D240" s="544">
        <v>3091258.74</v>
      </c>
      <c r="E240" s="206">
        <v>4.271641049302035E-2</v>
      </c>
      <c r="F240" s="200">
        <v>662</v>
      </c>
      <c r="G240" s="206">
        <v>3.2014701615243252E-2</v>
      </c>
    </row>
    <row r="241" spans="1:9">
      <c r="A241" s="183" t="s">
        <v>235</v>
      </c>
      <c r="B241" s="83">
        <v>81736975.849999994</v>
      </c>
      <c r="C241" s="206">
        <v>3.7803542697530966E-2</v>
      </c>
      <c r="D241" s="544">
        <v>3438473.91</v>
      </c>
      <c r="E241" s="206">
        <v>4.7514386650501048E-2</v>
      </c>
      <c r="F241" s="200">
        <v>862</v>
      </c>
      <c r="G241" s="206">
        <v>4.1686816906857528E-2</v>
      </c>
    </row>
    <row r="242" spans="1:9">
      <c r="A242" s="183" t="s">
        <v>236</v>
      </c>
      <c r="B242" s="83">
        <v>226313051.38999999</v>
      </c>
      <c r="C242" s="206">
        <v>0.10467031612389149</v>
      </c>
      <c r="D242" s="544">
        <v>7975406.9100000001</v>
      </c>
      <c r="E242" s="206">
        <v>0.1102077775011583</v>
      </c>
      <c r="F242" s="200">
        <v>2193</v>
      </c>
      <c r="G242" s="206">
        <v>0.10605474417255054</v>
      </c>
    </row>
    <row r="243" spans="1:9">
      <c r="A243" s="183" t="s">
        <v>730</v>
      </c>
      <c r="B243" s="83">
        <v>72360425.730000004</v>
      </c>
      <c r="C243" s="206">
        <v>3.3466866314158766E-2</v>
      </c>
      <c r="D243" s="544">
        <v>2142177.69</v>
      </c>
      <c r="E243" s="206">
        <v>2.9601579567238061E-2</v>
      </c>
      <c r="F243" s="200">
        <v>713</v>
      </c>
      <c r="G243" s="206">
        <v>3.4481091014604892E-2</v>
      </c>
    </row>
    <row r="244" spans="1:9">
      <c r="A244" s="183" t="s">
        <v>947</v>
      </c>
      <c r="B244" s="83">
        <v>120358985.08</v>
      </c>
      <c r="C244" s="206">
        <v>5.5666312390284897E-2</v>
      </c>
      <c r="D244" s="544">
        <v>2020487.45</v>
      </c>
      <c r="E244" s="206">
        <v>2.7920008827923577E-2</v>
      </c>
      <c r="F244" s="200">
        <v>988</v>
      </c>
      <c r="G244" s="206">
        <v>4.7780249540574526E-2</v>
      </c>
    </row>
    <row r="245" spans="1:9">
      <c r="A245" s="183" t="s">
        <v>948</v>
      </c>
      <c r="B245" s="83">
        <v>70544494.040000007</v>
      </c>
      <c r="C245" s="206">
        <v>3.2626993655979007E-2</v>
      </c>
      <c r="D245" s="544">
        <v>1917772.66</v>
      </c>
      <c r="E245" s="206">
        <v>2.6500649433457497E-2</v>
      </c>
      <c r="F245" s="200">
        <v>659</v>
      </c>
      <c r="G245" s="206">
        <v>3.186961988586904E-2</v>
      </c>
    </row>
    <row r="246" spans="1:9">
      <c r="A246" s="183" t="s">
        <v>970</v>
      </c>
      <c r="B246" s="83">
        <v>73782098.010000005</v>
      </c>
      <c r="C246" s="206">
        <v>3.4124393072152669E-2</v>
      </c>
      <c r="D246" s="544">
        <v>1234293.93</v>
      </c>
      <c r="E246" s="206">
        <v>1.7056031415514351E-2</v>
      </c>
      <c r="F246" s="200">
        <v>669</v>
      </c>
      <c r="G246" s="206">
        <v>3.2353225650449756E-2</v>
      </c>
    </row>
    <row r="247" spans="1:9">
      <c r="A247" s="183" t="s">
        <v>563</v>
      </c>
      <c r="B247" s="83">
        <v>124719088.13</v>
      </c>
      <c r="C247" s="206">
        <v>5.7682870259012434E-2</v>
      </c>
      <c r="D247" s="544">
        <v>2801427.53</v>
      </c>
      <c r="E247" s="206">
        <v>3.8711391831900831E-2</v>
      </c>
      <c r="F247" s="200">
        <v>1079</v>
      </c>
      <c r="G247" s="206">
        <v>5.2181061998259018E-2</v>
      </c>
    </row>
    <row r="248" spans="1:9">
      <c r="A248" s="183" t="s">
        <v>221</v>
      </c>
      <c r="B248" s="83">
        <v>4863124.49</v>
      </c>
      <c r="C248" s="206">
        <v>2.2492064624277815E-3</v>
      </c>
      <c r="D248" s="544">
        <v>122383.72</v>
      </c>
      <c r="E248" s="206">
        <v>1.6911535594017807E-3</v>
      </c>
      <c r="F248" s="200">
        <v>58</v>
      </c>
      <c r="G248" s="206">
        <v>2.8049134345681402E-3</v>
      </c>
    </row>
    <row r="249" spans="1:9">
      <c r="A249" s="225" t="s">
        <v>82</v>
      </c>
      <c r="B249" s="83">
        <v>3647226.54</v>
      </c>
      <c r="C249" s="206">
        <v>1.6868508138285635E-3</v>
      </c>
      <c r="D249" s="544">
        <v>436056.13</v>
      </c>
      <c r="E249" s="206">
        <v>6.0256206981489499E-3</v>
      </c>
      <c r="F249" s="200">
        <v>40</v>
      </c>
      <c r="G249" s="206">
        <v>1.9344230583228552E-3</v>
      </c>
    </row>
    <row r="250" spans="1:9">
      <c r="A250" s="183" t="s">
        <v>427</v>
      </c>
      <c r="B250" s="83">
        <v>36887234.719999999</v>
      </c>
      <c r="C250" s="206">
        <v>1.7060432420333626E-2</v>
      </c>
      <c r="D250" s="544">
        <v>320506.49</v>
      </c>
      <c r="E250" s="206">
        <v>4.4289035451355067E-3</v>
      </c>
      <c r="F250" s="200">
        <v>373</v>
      </c>
      <c r="G250" s="206">
        <v>1.8038495018860626E-2</v>
      </c>
    </row>
    <row r="251" spans="1:9">
      <c r="A251" s="183" t="s">
        <v>237</v>
      </c>
      <c r="B251" s="83">
        <v>14612679.9</v>
      </c>
      <c r="C251" s="206">
        <v>6.7583986657245845E-3</v>
      </c>
      <c r="D251" s="544">
        <v>457203.08</v>
      </c>
      <c r="E251" s="206">
        <v>6.3178388114976166E-3</v>
      </c>
      <c r="F251" s="200">
        <v>170</v>
      </c>
      <c r="G251" s="206">
        <v>8.2212979978721346E-3</v>
      </c>
    </row>
    <row r="252" spans="1:9">
      <c r="A252" s="183" t="s">
        <v>428</v>
      </c>
      <c r="B252" s="83">
        <v>1892917.4</v>
      </c>
      <c r="C252" s="206">
        <v>8.7547872929775517E-4</v>
      </c>
      <c r="D252" s="544">
        <v>22538.57</v>
      </c>
      <c r="E252" s="206">
        <v>3.1144814750953961E-4</v>
      </c>
      <c r="F252" s="200">
        <v>24</v>
      </c>
      <c r="G252" s="206">
        <v>1.160653834993713E-3</v>
      </c>
    </row>
    <row r="253" spans="1:9">
      <c r="A253" s="225" t="s">
        <v>794</v>
      </c>
      <c r="B253" s="83">
        <v>500043.78</v>
      </c>
      <c r="C253" s="206">
        <v>2.3127141897879235E-4</v>
      </c>
      <c r="D253" s="544">
        <v>49656.2</v>
      </c>
      <c r="E253" s="206">
        <v>6.8617181579679629E-4</v>
      </c>
      <c r="F253" s="200">
        <v>6</v>
      </c>
      <c r="G253" s="206">
        <v>2.9016345874842826E-4</v>
      </c>
    </row>
    <row r="254" spans="1:9">
      <c r="A254" s="183" t="s">
        <v>401</v>
      </c>
      <c r="B254" s="83">
        <v>421326.96</v>
      </c>
      <c r="C254" s="206">
        <v>1.9486470543283408E-4</v>
      </c>
      <c r="D254" s="544">
        <v>8441</v>
      </c>
      <c r="E254" s="206">
        <v>1.1664155326305191E-4</v>
      </c>
      <c r="F254" s="200">
        <v>6</v>
      </c>
      <c r="G254" s="206">
        <v>2.9016345874842826E-4</v>
      </c>
    </row>
    <row r="255" spans="1:9">
      <c r="A255" s="183" t="s">
        <v>238</v>
      </c>
      <c r="B255" s="83">
        <v>3421551.04</v>
      </c>
      <c r="C255" s="206">
        <v>1.5824753667152158E-3</v>
      </c>
      <c r="D255" s="544">
        <v>347786.33</v>
      </c>
      <c r="E255" s="206">
        <v>4.8058687045203592E-3</v>
      </c>
      <c r="F255" s="200">
        <v>44</v>
      </c>
      <c r="G255" s="206">
        <v>2.1278653641551406E-3</v>
      </c>
    </row>
    <row r="256" spans="1:9">
      <c r="A256" s="183" t="s">
        <v>39</v>
      </c>
      <c r="B256" s="83">
        <v>126820.51</v>
      </c>
      <c r="C256" s="206">
        <v>5.8654782793846817E-5</v>
      </c>
      <c r="D256" s="544">
        <v>0</v>
      </c>
      <c r="E256" s="206">
        <v>0</v>
      </c>
      <c r="F256" s="200">
        <v>2</v>
      </c>
      <c r="G256" s="206">
        <v>9.6721152916142759E-5</v>
      </c>
      <c r="I256" s="211"/>
    </row>
    <row r="257" spans="1:256">
      <c r="A257" s="225" t="s">
        <v>239</v>
      </c>
      <c r="B257" s="83">
        <v>319008.09000000003</v>
      </c>
      <c r="C257" s="206">
        <v>1.4754198850351524E-4</v>
      </c>
      <c r="D257" s="544">
        <v>23896.52</v>
      </c>
      <c r="E257" s="206">
        <v>3.3021291439184753E-4</v>
      </c>
      <c r="F257" s="200">
        <v>5</v>
      </c>
      <c r="G257" s="206">
        <v>2.418028822903569E-4</v>
      </c>
    </row>
    <row r="258" spans="1:256">
      <c r="A258" s="183" t="s">
        <v>240</v>
      </c>
      <c r="B258" s="83">
        <v>105811729.40000001</v>
      </c>
      <c r="C258" s="206">
        <v>4.8938172579484941E-2</v>
      </c>
      <c r="D258" s="544">
        <v>5915838.6699999999</v>
      </c>
      <c r="E258" s="206">
        <v>8.174773265281686E-2</v>
      </c>
      <c r="F258" s="200">
        <v>1049</v>
      </c>
      <c r="G258" s="206">
        <v>5.0730244704516876E-2</v>
      </c>
    </row>
    <row r="259" spans="1:256">
      <c r="A259" s="183" t="s">
        <v>241</v>
      </c>
      <c r="B259" s="83">
        <v>7526044.54</v>
      </c>
      <c r="C259" s="206">
        <v>3.4808132201212313E-3</v>
      </c>
      <c r="D259" s="544">
        <v>449639.81</v>
      </c>
      <c r="E259" s="206">
        <v>6.213326128101355E-3</v>
      </c>
      <c r="F259" s="200">
        <v>70</v>
      </c>
      <c r="G259" s="206">
        <v>3.3852403520649968E-3</v>
      </c>
    </row>
    <row r="260" spans="1:256">
      <c r="A260" s="183" t="s">
        <v>242</v>
      </c>
      <c r="B260" s="83">
        <v>123963703.34</v>
      </c>
      <c r="C260" s="206">
        <v>5.7333503025090847E-2</v>
      </c>
      <c r="D260" s="544">
        <v>4633642.6399999997</v>
      </c>
      <c r="E260" s="206">
        <v>6.4029768368144585E-2</v>
      </c>
      <c r="F260" s="200">
        <v>1165</v>
      </c>
      <c r="G260" s="206">
        <v>5.6340071573653158E-2</v>
      </c>
    </row>
    <row r="261" spans="1:256">
      <c r="A261" s="225" t="s">
        <v>243</v>
      </c>
      <c r="B261" s="83">
        <v>246883581.30000001</v>
      </c>
      <c r="C261" s="206">
        <v>0.11418423436807282</v>
      </c>
      <c r="D261" s="544">
        <v>10838787.17</v>
      </c>
      <c r="E261" s="206">
        <v>0.14977526015832704</v>
      </c>
      <c r="F261" s="200">
        <v>2428</v>
      </c>
      <c r="G261" s="206">
        <v>0.11741947964019731</v>
      </c>
    </row>
    <row r="262" spans="1:256">
      <c r="A262" s="183" t="s">
        <v>244</v>
      </c>
      <c r="B262" s="83">
        <v>221730005.41999999</v>
      </c>
      <c r="C262" s="206">
        <v>0.10255064663269826</v>
      </c>
      <c r="D262" s="544">
        <v>8998592.1600000001</v>
      </c>
      <c r="E262" s="206">
        <v>0.12434661375703368</v>
      </c>
      <c r="F262" s="200">
        <v>2230</v>
      </c>
      <c r="G262" s="206">
        <v>0.10784408550149918</v>
      </c>
    </row>
    <row r="263" spans="1:256">
      <c r="A263" s="183" t="s">
        <v>731</v>
      </c>
      <c r="B263" s="83">
        <v>37571378.939999998</v>
      </c>
      <c r="C263" s="206">
        <v>1.7376850723838051E-2</v>
      </c>
      <c r="D263" s="544">
        <v>1446939.99</v>
      </c>
      <c r="E263" s="206">
        <v>1.999447078687653E-2</v>
      </c>
      <c r="F263" s="200">
        <v>393</v>
      </c>
      <c r="G263" s="206">
        <v>1.9005706548022052E-2</v>
      </c>
    </row>
    <row r="264" spans="1:256">
      <c r="A264" s="183" t="s">
        <v>949</v>
      </c>
      <c r="B264" s="83">
        <v>45707494.369999997</v>
      </c>
      <c r="C264" s="206">
        <v>2.1139823158914328E-2</v>
      </c>
      <c r="D264" s="544">
        <v>1125552.67</v>
      </c>
      <c r="E264" s="206">
        <v>1.5553395534673057E-2</v>
      </c>
      <c r="F264" s="200">
        <v>405</v>
      </c>
      <c r="G264" s="206">
        <v>1.9586033465518907E-2</v>
      </c>
    </row>
    <row r="265" spans="1:256">
      <c r="A265" s="183" t="s">
        <v>971</v>
      </c>
      <c r="B265" s="83">
        <v>24631901.760000002</v>
      </c>
      <c r="C265" s="206">
        <v>1.1392312233503661E-2</v>
      </c>
      <c r="D265" s="544">
        <v>770089.49</v>
      </c>
      <c r="E265" s="206">
        <v>1.0641444646979206E-2</v>
      </c>
      <c r="F265" s="200">
        <v>228</v>
      </c>
      <c r="G265" s="206">
        <v>1.1026211432440274E-2</v>
      </c>
      <c r="H265" s="87"/>
    </row>
    <row r="266" spans="1:256">
      <c r="A266" s="225" t="s">
        <v>564</v>
      </c>
      <c r="B266" s="83">
        <v>22381329.219999999</v>
      </c>
      <c r="C266" s="206">
        <v>1.0351417164594883E-2</v>
      </c>
      <c r="D266" s="544">
        <v>668145.31000000006</v>
      </c>
      <c r="E266" s="206">
        <v>9.232733889802551E-3</v>
      </c>
      <c r="F266" s="200">
        <v>209</v>
      </c>
      <c r="G266" s="206">
        <v>1.0107360479736918E-2</v>
      </c>
      <c r="H266" s="64"/>
      <c r="I266" s="64"/>
      <c r="J266" s="64"/>
      <c r="K266" s="64"/>
    </row>
    <row r="267" spans="1:256">
      <c r="A267" s="183" t="s">
        <v>75</v>
      </c>
      <c r="B267" s="83">
        <v>200263454.25</v>
      </c>
      <c r="C267" s="206">
        <v>9.2622316457954865E-2</v>
      </c>
      <c r="D267" s="544">
        <v>3743668.58</v>
      </c>
      <c r="E267" s="206">
        <v>5.1731704546058986E-2</v>
      </c>
      <c r="F267" s="200">
        <v>1917</v>
      </c>
      <c r="G267" s="206">
        <v>9.2707225070122842E-2</v>
      </c>
      <c r="H267" s="64"/>
      <c r="I267" s="64"/>
      <c r="J267" s="64"/>
      <c r="K267" s="64"/>
    </row>
    <row r="268" spans="1:256">
      <c r="A268" s="183" t="s">
        <v>222</v>
      </c>
      <c r="B268" s="83">
        <v>7239959.3700000001</v>
      </c>
      <c r="C268" s="206">
        <v>3.3484981591985876E-3</v>
      </c>
      <c r="D268" s="544">
        <v>97377.94</v>
      </c>
      <c r="E268" s="206">
        <v>1.345612388953474E-3</v>
      </c>
      <c r="F268" s="200">
        <v>91</v>
      </c>
      <c r="G268" s="206">
        <v>4.4008124576844958E-3</v>
      </c>
      <c r="H268" s="64"/>
      <c r="I268" s="64"/>
      <c r="J268" s="64"/>
      <c r="K268" s="64"/>
    </row>
    <row r="269" spans="1:256">
      <c r="A269" s="183" t="s">
        <v>891</v>
      </c>
      <c r="B269" s="83">
        <v>693360.96</v>
      </c>
      <c r="C269" s="206">
        <v>3.2068106733313968E-4</v>
      </c>
      <c r="D269" s="544">
        <v>13324.65</v>
      </c>
      <c r="E269" s="206">
        <v>1.8412603633296109E-4</v>
      </c>
      <c r="F269" s="200">
        <v>9</v>
      </c>
      <c r="G269" s="206">
        <v>4.3524518812264242E-4</v>
      </c>
      <c r="H269" s="35"/>
      <c r="I269" s="35"/>
      <c r="J269" s="35"/>
      <c r="K269" s="35"/>
    </row>
    <row r="270" spans="1:256" ht="13.5" thickBot="1">
      <c r="A270" s="223" t="s">
        <v>814</v>
      </c>
      <c r="B270" s="89">
        <v>2162151216.9899998</v>
      </c>
      <c r="C270" s="202">
        <v>1</v>
      </c>
      <c r="D270" s="660">
        <v>72367006.13000001</v>
      </c>
      <c r="E270" s="202">
        <v>1</v>
      </c>
      <c r="F270" s="203">
        <v>20678</v>
      </c>
      <c r="G270" s="202">
        <v>1</v>
      </c>
      <c r="H270" s="35"/>
      <c r="I270" s="35"/>
      <c r="J270" s="35"/>
      <c r="K270" s="35"/>
      <c r="L270" s="64"/>
    </row>
    <row r="271" spans="1:256" ht="13.5" thickTop="1">
      <c r="A271" s="183"/>
      <c r="C271" s="206"/>
      <c r="D271" s="544"/>
      <c r="E271" s="206"/>
      <c r="F271" s="200"/>
      <c r="G271" s="206"/>
      <c r="H271" s="35"/>
      <c r="I271" s="35"/>
      <c r="J271" s="35"/>
      <c r="K271" s="35"/>
      <c r="L271" s="64"/>
    </row>
    <row r="272" spans="1:256" s="35" customFormat="1">
      <c r="H272" s="33"/>
      <c r="I272" s="33"/>
      <c r="J272" s="33"/>
      <c r="K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c r="CR272" s="33"/>
      <c r="CS272" s="33"/>
      <c r="CT272" s="33"/>
      <c r="CU272" s="33"/>
      <c r="CV272" s="33"/>
      <c r="CW272" s="33"/>
      <c r="CX272" s="33"/>
      <c r="CY272" s="33"/>
      <c r="CZ272" s="33"/>
      <c r="DA272" s="33"/>
      <c r="DB272" s="33"/>
      <c r="DC272" s="33"/>
      <c r="DD272" s="33"/>
      <c r="DE272" s="33"/>
      <c r="DF272" s="33"/>
      <c r="DG272" s="33"/>
      <c r="DH272" s="33"/>
      <c r="DI272" s="33"/>
      <c r="DJ272" s="33"/>
      <c r="DK272" s="33"/>
      <c r="DL272" s="33"/>
      <c r="DM272" s="33"/>
      <c r="DN272" s="33"/>
      <c r="DO272" s="33"/>
      <c r="DP272" s="33"/>
      <c r="DQ272" s="33"/>
      <c r="DR272" s="33"/>
      <c r="DS272" s="33"/>
      <c r="DT272" s="33"/>
      <c r="DU272" s="33"/>
      <c r="DV272" s="33"/>
      <c r="DW272" s="33"/>
      <c r="DX272" s="33"/>
      <c r="DY272" s="33"/>
      <c r="DZ272" s="33"/>
      <c r="EA272" s="33"/>
      <c r="EB272" s="33"/>
      <c r="EC272" s="33"/>
      <c r="ED272" s="33"/>
      <c r="EE272" s="33"/>
      <c r="EF272" s="33"/>
      <c r="EG272" s="33"/>
      <c r="EH272" s="33"/>
      <c r="EI272" s="33"/>
      <c r="EJ272" s="33"/>
      <c r="EK272" s="33"/>
      <c r="EL272" s="33"/>
      <c r="EM272" s="33"/>
      <c r="EN272" s="33"/>
      <c r="EO272" s="33"/>
      <c r="EP272" s="33"/>
      <c r="EQ272" s="33"/>
      <c r="ER272" s="33"/>
      <c r="ES272" s="33"/>
      <c r="ET272" s="33"/>
      <c r="EU272" s="33"/>
      <c r="EV272" s="33"/>
      <c r="EW272" s="33"/>
      <c r="EX272" s="33"/>
      <c r="EY272" s="33"/>
      <c r="EZ272" s="33"/>
      <c r="FA272" s="33"/>
      <c r="FB272" s="33"/>
      <c r="FC272" s="33"/>
      <c r="FD272" s="33"/>
      <c r="FE272" s="33"/>
      <c r="FF272" s="33"/>
      <c r="FG272" s="33"/>
      <c r="FH272" s="33"/>
      <c r="FI272" s="33"/>
      <c r="FJ272" s="33"/>
      <c r="FK272" s="33"/>
      <c r="FL272" s="33"/>
      <c r="FM272" s="33"/>
      <c r="FN272" s="33"/>
      <c r="FO272" s="33"/>
      <c r="FP272" s="33"/>
      <c r="FQ272" s="33"/>
      <c r="FR272" s="33"/>
      <c r="FS272" s="33"/>
      <c r="FT272" s="33"/>
      <c r="FU272" s="33"/>
      <c r="FV272" s="33"/>
      <c r="FW272" s="33"/>
      <c r="FX272" s="33"/>
      <c r="FY272" s="33"/>
      <c r="FZ272" s="33"/>
      <c r="GA272" s="33"/>
      <c r="GB272" s="33"/>
      <c r="GC272" s="33"/>
      <c r="GD272" s="33"/>
      <c r="GE272" s="33"/>
      <c r="GF272" s="33"/>
      <c r="GG272" s="33"/>
      <c r="GH272" s="33"/>
      <c r="GI272" s="33"/>
      <c r="GJ272" s="33"/>
      <c r="GK272" s="33"/>
      <c r="GL272" s="33"/>
      <c r="GM272" s="33"/>
      <c r="GN272" s="33"/>
      <c r="GO272" s="33"/>
      <c r="GP272" s="33"/>
      <c r="GQ272" s="33"/>
      <c r="GR272" s="33"/>
      <c r="GS272" s="33"/>
      <c r="GT272" s="33"/>
      <c r="GU272" s="33"/>
      <c r="GV272" s="33"/>
      <c r="GW272" s="33"/>
      <c r="GX272" s="33"/>
      <c r="GY272" s="33"/>
      <c r="GZ272" s="33"/>
      <c r="HA272" s="33"/>
      <c r="HB272" s="33"/>
      <c r="HC272" s="33"/>
      <c r="HD272" s="33"/>
      <c r="HE272" s="33"/>
      <c r="HF272" s="33"/>
      <c r="HG272" s="33"/>
      <c r="HH272" s="33"/>
      <c r="HI272" s="33"/>
      <c r="HJ272" s="33"/>
      <c r="HK272" s="33"/>
      <c r="HL272" s="33"/>
      <c r="HM272" s="33"/>
      <c r="HN272" s="33"/>
      <c r="HO272" s="33"/>
      <c r="HP272" s="33"/>
      <c r="HQ272" s="33"/>
      <c r="HR272" s="33"/>
      <c r="HS272" s="33"/>
      <c r="HT272" s="33"/>
      <c r="HU272" s="33"/>
      <c r="HV272" s="33"/>
      <c r="HW272" s="33"/>
      <c r="HX272" s="33"/>
      <c r="HY272" s="33"/>
      <c r="HZ272" s="33"/>
      <c r="IA272" s="33"/>
      <c r="IB272" s="33"/>
      <c r="IC272" s="33"/>
      <c r="ID272" s="33"/>
      <c r="IE272" s="33"/>
      <c r="IF272" s="33"/>
      <c r="IG272" s="33"/>
      <c r="IH272" s="33"/>
      <c r="II272" s="33"/>
      <c r="IJ272" s="33"/>
      <c r="IK272" s="33"/>
      <c r="IL272" s="33"/>
      <c r="IM272" s="33"/>
      <c r="IN272" s="33"/>
      <c r="IO272" s="33"/>
      <c r="IP272" s="33"/>
      <c r="IQ272" s="33"/>
      <c r="IR272" s="33"/>
      <c r="IS272" s="33"/>
      <c r="IT272" s="33"/>
      <c r="IU272" s="33"/>
      <c r="IV272" s="33"/>
    </row>
    <row r="273" spans="1:256" s="35" customFormat="1">
      <c r="B273" s="233"/>
      <c r="C273" s="207"/>
      <c r="D273" s="444"/>
      <c r="E273" s="207"/>
      <c r="F273" s="234"/>
      <c r="G273" s="350"/>
      <c r="H273" s="33"/>
      <c r="I273" s="33"/>
      <c r="J273" s="33"/>
      <c r="K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c r="CR273" s="33"/>
      <c r="CS273" s="33"/>
      <c r="CT273" s="33"/>
      <c r="CU273" s="33"/>
      <c r="CV273" s="33"/>
      <c r="CW273" s="33"/>
      <c r="CX273" s="33"/>
      <c r="CY273" s="33"/>
      <c r="CZ273" s="33"/>
      <c r="DA273" s="33"/>
      <c r="DB273" s="33"/>
      <c r="DC273" s="33"/>
      <c r="DD273" s="33"/>
      <c r="DE273" s="33"/>
      <c r="DF273" s="33"/>
      <c r="DG273" s="33"/>
      <c r="DH273" s="33"/>
      <c r="DI273" s="33"/>
      <c r="DJ273" s="33"/>
      <c r="DK273" s="33"/>
      <c r="DL273" s="33"/>
      <c r="DM273" s="33"/>
      <c r="DN273" s="33"/>
      <c r="DO273" s="33"/>
      <c r="DP273" s="33"/>
      <c r="DQ273" s="33"/>
      <c r="DR273" s="33"/>
      <c r="DS273" s="33"/>
      <c r="DT273" s="33"/>
      <c r="DU273" s="33"/>
      <c r="DV273" s="33"/>
      <c r="DW273" s="33"/>
      <c r="DX273" s="33"/>
      <c r="DY273" s="33"/>
      <c r="DZ273" s="33"/>
      <c r="EA273" s="33"/>
      <c r="EB273" s="33"/>
      <c r="EC273" s="33"/>
      <c r="ED273" s="33"/>
      <c r="EE273" s="33"/>
      <c r="EF273" s="33"/>
      <c r="EG273" s="33"/>
      <c r="EH273" s="33"/>
      <c r="EI273" s="33"/>
      <c r="EJ273" s="33"/>
      <c r="EK273" s="33"/>
      <c r="EL273" s="33"/>
      <c r="EM273" s="33"/>
      <c r="EN273" s="33"/>
      <c r="EO273" s="33"/>
      <c r="EP273" s="33"/>
      <c r="EQ273" s="33"/>
      <c r="ER273" s="33"/>
      <c r="ES273" s="33"/>
      <c r="ET273" s="33"/>
      <c r="EU273" s="33"/>
      <c r="EV273" s="33"/>
      <c r="EW273" s="33"/>
      <c r="EX273" s="33"/>
      <c r="EY273" s="33"/>
      <c r="EZ273" s="33"/>
      <c r="FA273" s="33"/>
      <c r="FB273" s="33"/>
      <c r="FC273" s="33"/>
      <c r="FD273" s="33"/>
      <c r="FE273" s="33"/>
      <c r="FF273" s="33"/>
      <c r="FG273" s="33"/>
      <c r="FH273" s="33"/>
      <c r="FI273" s="33"/>
      <c r="FJ273" s="33"/>
      <c r="FK273" s="33"/>
      <c r="FL273" s="33"/>
      <c r="FM273" s="33"/>
      <c r="FN273" s="33"/>
      <c r="FO273" s="33"/>
      <c r="FP273" s="33"/>
      <c r="FQ273" s="33"/>
      <c r="FR273" s="33"/>
      <c r="FS273" s="33"/>
      <c r="FT273" s="33"/>
      <c r="FU273" s="33"/>
      <c r="FV273" s="33"/>
      <c r="FW273" s="33"/>
      <c r="FX273" s="33"/>
      <c r="FY273" s="33"/>
      <c r="FZ273" s="33"/>
      <c r="GA273" s="33"/>
      <c r="GB273" s="33"/>
      <c r="GC273" s="33"/>
      <c r="GD273" s="33"/>
      <c r="GE273" s="33"/>
      <c r="GF273" s="33"/>
      <c r="GG273" s="33"/>
      <c r="GH273" s="33"/>
      <c r="GI273" s="33"/>
      <c r="GJ273" s="33"/>
      <c r="GK273" s="33"/>
      <c r="GL273" s="33"/>
      <c r="GM273" s="33"/>
      <c r="GN273" s="33"/>
      <c r="GO273" s="33"/>
      <c r="GP273" s="33"/>
      <c r="GQ273" s="33"/>
      <c r="GR273" s="33"/>
      <c r="GS273" s="33"/>
      <c r="GT273" s="33"/>
      <c r="GU273" s="33"/>
      <c r="GV273" s="33"/>
      <c r="GW273" s="33"/>
      <c r="GX273" s="33"/>
      <c r="GY273" s="33"/>
      <c r="GZ273" s="33"/>
      <c r="HA273" s="33"/>
      <c r="HB273" s="33"/>
      <c r="HC273" s="33"/>
      <c r="HD273" s="33"/>
      <c r="HE273" s="33"/>
      <c r="HF273" s="33"/>
      <c r="HG273" s="33"/>
      <c r="HH273" s="33"/>
      <c r="HI273" s="33"/>
      <c r="HJ273" s="33"/>
      <c r="HK273" s="33"/>
      <c r="HL273" s="33"/>
      <c r="HM273" s="33"/>
      <c r="HN273" s="33"/>
      <c r="HO273" s="33"/>
      <c r="HP273" s="33"/>
      <c r="HQ273" s="33"/>
      <c r="HR273" s="33"/>
      <c r="HS273" s="33"/>
      <c r="HT273" s="33"/>
      <c r="HU273" s="33"/>
      <c r="HV273" s="33"/>
      <c r="HW273" s="33"/>
      <c r="HX273" s="33"/>
      <c r="HY273" s="33"/>
      <c r="HZ273" s="33"/>
      <c r="IA273" s="33"/>
      <c r="IB273" s="33"/>
      <c r="IC273" s="33"/>
      <c r="ID273" s="33"/>
      <c r="IE273" s="33"/>
      <c r="IF273" s="33"/>
      <c r="IG273" s="33"/>
      <c r="IH273" s="33"/>
      <c r="II273" s="33"/>
      <c r="IJ273" s="33"/>
      <c r="IK273" s="33"/>
      <c r="IL273" s="33"/>
      <c r="IM273" s="33"/>
      <c r="IN273" s="33"/>
      <c r="IO273" s="33"/>
      <c r="IP273" s="33"/>
      <c r="IQ273" s="33"/>
      <c r="IR273" s="33"/>
      <c r="IS273" s="33"/>
      <c r="IT273" s="33"/>
      <c r="IU273" s="33"/>
      <c r="IV273" s="33"/>
    </row>
    <row r="274" spans="1:256" s="35" customFormat="1">
      <c r="B274" s="233"/>
      <c r="C274" s="207"/>
      <c r="D274" s="444"/>
      <c r="E274" s="207"/>
      <c r="F274" s="234"/>
      <c r="G274" s="198"/>
      <c r="H274" s="33"/>
      <c r="I274" s="33"/>
      <c r="J274" s="33"/>
      <c r="K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c r="CQ274" s="33"/>
      <c r="CR274" s="33"/>
      <c r="CS274" s="33"/>
      <c r="CT274" s="33"/>
      <c r="CU274" s="33"/>
      <c r="CV274" s="33"/>
      <c r="CW274" s="33"/>
      <c r="CX274" s="33"/>
      <c r="CY274" s="33"/>
      <c r="CZ274" s="33"/>
      <c r="DA274" s="33"/>
      <c r="DB274" s="33"/>
      <c r="DC274" s="33"/>
      <c r="DD274" s="33"/>
      <c r="DE274" s="33"/>
      <c r="DF274" s="33"/>
      <c r="DG274" s="33"/>
      <c r="DH274" s="33"/>
      <c r="DI274" s="33"/>
      <c r="DJ274" s="33"/>
      <c r="DK274" s="33"/>
      <c r="DL274" s="33"/>
      <c r="DM274" s="33"/>
      <c r="DN274" s="33"/>
      <c r="DO274" s="33"/>
      <c r="DP274" s="33"/>
      <c r="DQ274" s="33"/>
      <c r="DR274" s="33"/>
      <c r="DS274" s="33"/>
      <c r="DT274" s="33"/>
      <c r="DU274" s="33"/>
      <c r="DV274" s="33"/>
      <c r="DW274" s="33"/>
      <c r="DX274" s="33"/>
      <c r="DY274" s="33"/>
      <c r="DZ274" s="33"/>
      <c r="EA274" s="33"/>
      <c r="EB274" s="33"/>
      <c r="EC274" s="33"/>
      <c r="ED274" s="33"/>
      <c r="EE274" s="33"/>
      <c r="EF274" s="33"/>
      <c r="EG274" s="33"/>
      <c r="EH274" s="33"/>
      <c r="EI274" s="33"/>
      <c r="EJ274" s="33"/>
      <c r="EK274" s="33"/>
      <c r="EL274" s="33"/>
      <c r="EM274" s="33"/>
      <c r="EN274" s="33"/>
      <c r="EO274" s="33"/>
      <c r="EP274" s="33"/>
      <c r="EQ274" s="33"/>
      <c r="ER274" s="33"/>
      <c r="ES274" s="33"/>
      <c r="ET274" s="33"/>
      <c r="EU274" s="33"/>
      <c r="EV274" s="33"/>
      <c r="EW274" s="33"/>
      <c r="EX274" s="33"/>
      <c r="EY274" s="33"/>
      <c r="EZ274" s="33"/>
      <c r="FA274" s="33"/>
      <c r="FB274" s="33"/>
      <c r="FC274" s="33"/>
      <c r="FD274" s="33"/>
      <c r="FE274" s="33"/>
      <c r="FF274" s="33"/>
      <c r="FG274" s="33"/>
      <c r="FH274" s="33"/>
      <c r="FI274" s="33"/>
      <c r="FJ274" s="33"/>
      <c r="FK274" s="33"/>
      <c r="FL274" s="33"/>
      <c r="FM274" s="33"/>
      <c r="FN274" s="33"/>
      <c r="FO274" s="33"/>
      <c r="FP274" s="33"/>
      <c r="FQ274" s="33"/>
      <c r="FR274" s="33"/>
      <c r="FS274" s="33"/>
      <c r="FT274" s="33"/>
      <c r="FU274" s="33"/>
      <c r="FV274" s="33"/>
      <c r="FW274" s="33"/>
      <c r="FX274" s="33"/>
      <c r="FY274" s="33"/>
      <c r="FZ274" s="33"/>
      <c r="GA274" s="33"/>
      <c r="GB274" s="33"/>
      <c r="GC274" s="33"/>
      <c r="GD274" s="33"/>
      <c r="GE274" s="33"/>
      <c r="GF274" s="33"/>
      <c r="GG274" s="33"/>
      <c r="GH274" s="33"/>
      <c r="GI274" s="33"/>
      <c r="GJ274" s="33"/>
      <c r="GK274" s="33"/>
      <c r="GL274" s="33"/>
      <c r="GM274" s="33"/>
      <c r="GN274" s="33"/>
      <c r="GO274" s="33"/>
      <c r="GP274" s="33"/>
      <c r="GQ274" s="33"/>
      <c r="GR274" s="33"/>
      <c r="GS274" s="33"/>
      <c r="GT274" s="33"/>
      <c r="GU274" s="33"/>
      <c r="GV274" s="33"/>
      <c r="GW274" s="33"/>
      <c r="GX274" s="33"/>
      <c r="GY274" s="33"/>
      <c r="GZ274" s="33"/>
      <c r="HA274" s="33"/>
      <c r="HB274" s="33"/>
      <c r="HC274" s="33"/>
      <c r="HD274" s="33"/>
      <c r="HE274" s="33"/>
      <c r="HF274" s="33"/>
      <c r="HG274" s="33"/>
      <c r="HH274" s="33"/>
      <c r="HI274" s="33"/>
      <c r="HJ274" s="33"/>
      <c r="HK274" s="33"/>
      <c r="HL274" s="33"/>
      <c r="HM274" s="33"/>
      <c r="HN274" s="33"/>
      <c r="HO274" s="33"/>
      <c r="HP274" s="33"/>
      <c r="HQ274" s="33"/>
      <c r="HR274" s="33"/>
      <c r="HS274" s="33"/>
      <c r="HT274" s="33"/>
      <c r="HU274" s="33"/>
      <c r="HV274" s="33"/>
      <c r="HW274" s="33"/>
      <c r="HX274" s="33"/>
      <c r="HY274" s="33"/>
      <c r="HZ274" s="33"/>
      <c r="IA274" s="33"/>
      <c r="IB274" s="33"/>
      <c r="IC274" s="33"/>
      <c r="ID274" s="33"/>
      <c r="IE274" s="33"/>
      <c r="IF274" s="33"/>
      <c r="IG274" s="33"/>
      <c r="IH274" s="33"/>
      <c r="II274" s="33"/>
      <c r="IJ274" s="33"/>
      <c r="IK274" s="33"/>
      <c r="IL274" s="33"/>
      <c r="IM274" s="33"/>
      <c r="IN274" s="33"/>
      <c r="IO274" s="33"/>
      <c r="IP274" s="33"/>
      <c r="IQ274" s="33"/>
      <c r="IR274" s="33"/>
      <c r="IS274" s="33"/>
      <c r="IT274" s="33"/>
      <c r="IU274" s="33"/>
      <c r="IV274" s="33"/>
    </row>
    <row r="275" spans="1:256">
      <c r="A275" s="237"/>
      <c r="B275" s="35"/>
      <c r="C275" s="35"/>
      <c r="D275" s="222"/>
      <c r="E275" s="35"/>
      <c r="F275" s="216"/>
      <c r="G275" s="206"/>
    </row>
    <row r="276" spans="1:256" ht="15.75">
      <c r="A276" s="340" t="s">
        <v>245</v>
      </c>
      <c r="B276" s="35"/>
      <c r="C276" s="35"/>
      <c r="D276" s="222"/>
      <c r="E276" s="35"/>
      <c r="F276" s="216"/>
      <c r="G276" s="207"/>
    </row>
    <row r="277" spans="1:256" ht="25.5">
      <c r="A277" s="232" t="s">
        <v>726</v>
      </c>
      <c r="B277" s="197" t="s">
        <v>939</v>
      </c>
      <c r="C277" s="198" t="s">
        <v>991</v>
      </c>
      <c r="D277" s="238" t="s">
        <v>938</v>
      </c>
      <c r="E277" s="198" t="s">
        <v>991</v>
      </c>
      <c r="F277" s="197" t="s">
        <v>992</v>
      </c>
      <c r="G277" s="198" t="s">
        <v>991</v>
      </c>
    </row>
    <row r="278" spans="1:256">
      <c r="A278" s="541" t="s">
        <v>554</v>
      </c>
      <c r="B278" s="585">
        <v>3825845357.27</v>
      </c>
      <c r="C278" s="206">
        <v>0.43629860222496319</v>
      </c>
      <c r="D278" s="586">
        <v>94966931.579999998</v>
      </c>
      <c r="E278" s="206">
        <v>0.26422097492644137</v>
      </c>
      <c r="F278" s="249">
        <v>28871</v>
      </c>
      <c r="G278" s="206">
        <v>0.33242371905584339</v>
      </c>
    </row>
    <row r="279" spans="1:256">
      <c r="A279" s="241" t="s">
        <v>555</v>
      </c>
      <c r="B279" s="585">
        <v>4943023801.9700003</v>
      </c>
      <c r="C279" s="206">
        <v>0.56370139777503692</v>
      </c>
      <c r="D279" s="586">
        <v>264455448.13999999</v>
      </c>
      <c r="E279" s="206">
        <v>0.73577902507355863</v>
      </c>
      <c r="F279" s="249">
        <v>57979</v>
      </c>
      <c r="G279" s="206">
        <v>0.66757628094415655</v>
      </c>
    </row>
    <row r="280" spans="1:256" ht="13.5" thickBot="1">
      <c r="A280" s="223" t="s">
        <v>814</v>
      </c>
      <c r="B280" s="271">
        <v>8768869159.2399998</v>
      </c>
      <c r="C280" s="202">
        <v>1</v>
      </c>
      <c r="D280" s="267">
        <v>359422379.71999997</v>
      </c>
      <c r="E280" s="202">
        <v>1</v>
      </c>
      <c r="F280" s="212">
        <v>86850</v>
      </c>
      <c r="G280" s="202">
        <v>1</v>
      </c>
    </row>
    <row r="281" spans="1:256" ht="13.5" thickTop="1"/>
    <row r="282" spans="1:256">
      <c r="B282" s="83" t="s">
        <v>639</v>
      </c>
      <c r="G282" s="87"/>
    </row>
    <row r="283" spans="1:256">
      <c r="A283" s="178"/>
    </row>
    <row r="284" spans="1:256" ht="15.75">
      <c r="A284" s="340" t="s">
        <v>723</v>
      </c>
      <c r="B284" s="35"/>
      <c r="C284" s="206"/>
      <c r="E284" s="206"/>
      <c r="G284" s="211"/>
    </row>
    <row r="285" spans="1:256">
      <c r="A285" s="240" t="s">
        <v>724</v>
      </c>
      <c r="B285" s="197" t="s">
        <v>934</v>
      </c>
      <c r="C285" s="198" t="s">
        <v>991</v>
      </c>
      <c r="D285" s="197" t="s">
        <v>882</v>
      </c>
      <c r="E285" s="198" t="s">
        <v>991</v>
      </c>
    </row>
    <row r="286" spans="1:256">
      <c r="A286" s="83" t="s">
        <v>869</v>
      </c>
      <c r="B286" s="83">
        <v>8962394926.6399994</v>
      </c>
      <c r="C286" s="206">
        <v>0.98182610496039235</v>
      </c>
      <c r="D286" s="200">
        <v>85421</v>
      </c>
      <c r="E286" s="206">
        <v>0.98354634427173282</v>
      </c>
      <c r="F286" s="87"/>
    </row>
    <row r="287" spans="1:256">
      <c r="A287" s="83" t="s">
        <v>870</v>
      </c>
      <c r="B287" s="83">
        <v>62533667.719999999</v>
      </c>
      <c r="C287" s="206">
        <v>6.8505335804737643E-3</v>
      </c>
      <c r="D287" s="200">
        <v>530</v>
      </c>
      <c r="E287" s="206">
        <v>6.1024755325273456E-3</v>
      </c>
    </row>
    <row r="288" spans="1:256">
      <c r="A288" s="83" t="s">
        <v>871</v>
      </c>
      <c r="B288" s="83">
        <v>25233234.300000001</v>
      </c>
      <c r="C288" s="206">
        <v>2.7642888258228079E-3</v>
      </c>
      <c r="D288" s="200">
        <v>227</v>
      </c>
      <c r="E288" s="206">
        <v>2.6137017846862409E-3</v>
      </c>
    </row>
    <row r="289" spans="1:5">
      <c r="A289" s="83" t="s">
        <v>872</v>
      </c>
      <c r="B289" s="83">
        <v>18170024.52</v>
      </c>
      <c r="C289" s="206">
        <v>1.9905175511156104E-3</v>
      </c>
      <c r="D289" s="200">
        <v>153</v>
      </c>
      <c r="E289" s="206">
        <v>1.761658031088083E-3</v>
      </c>
    </row>
    <row r="290" spans="1:5">
      <c r="A290" s="83" t="s">
        <v>873</v>
      </c>
      <c r="B290" s="83">
        <v>10416820.33</v>
      </c>
      <c r="C290" s="206">
        <v>1.1411577167031201E-3</v>
      </c>
      <c r="D290" s="200">
        <v>99</v>
      </c>
      <c r="E290" s="206">
        <v>1.1398963730569949E-3</v>
      </c>
    </row>
    <row r="291" spans="1:5">
      <c r="A291" s="83" t="s">
        <v>874</v>
      </c>
      <c r="B291" s="83">
        <v>7311770.5599999996</v>
      </c>
      <c r="C291" s="206">
        <v>8.0100099003115792E-4</v>
      </c>
      <c r="D291" s="200">
        <v>57</v>
      </c>
      <c r="E291" s="206">
        <v>6.5630397236614854E-4</v>
      </c>
    </row>
    <row r="292" spans="1:5">
      <c r="A292" s="83" t="s">
        <v>875</v>
      </c>
      <c r="B292" s="83">
        <v>42231094.890000001</v>
      </c>
      <c r="C292" s="206">
        <v>4.626396375461455E-3</v>
      </c>
      <c r="D292" s="200">
        <v>363</v>
      </c>
      <c r="E292" s="206">
        <v>4.1796200345423145E-3</v>
      </c>
    </row>
    <row r="293" spans="1:5" ht="13.5" thickBot="1">
      <c r="A293" s="223" t="s">
        <v>814</v>
      </c>
      <c r="B293" s="89">
        <v>9128291538.9599972</v>
      </c>
      <c r="C293" s="202">
        <v>1</v>
      </c>
      <c r="D293" s="203">
        <v>86850</v>
      </c>
      <c r="E293" s="202">
        <v>1</v>
      </c>
    </row>
    <row r="294" spans="1:5" ht="13.5" thickTop="1">
      <c r="A294" s="223"/>
      <c r="B294" s="233"/>
      <c r="C294" s="207"/>
      <c r="D294" s="234"/>
      <c r="E294" s="207"/>
    </row>
    <row r="295" spans="1:5">
      <c r="A295" s="223" t="s">
        <v>136</v>
      </c>
      <c r="B295" s="288">
        <f>+C292+C291+C290+C289</f>
        <v>8.5590726333113435E-3</v>
      </c>
      <c r="C295" s="207"/>
      <c r="D295" s="234"/>
      <c r="E295" s="207"/>
    </row>
    <row r="296" spans="1:5">
      <c r="A296" s="223"/>
      <c r="B296" s="288"/>
      <c r="C296" s="207"/>
      <c r="D296" s="234"/>
      <c r="E296" s="207"/>
    </row>
    <row r="297" spans="1:5">
      <c r="A297" s="223"/>
      <c r="B297" s="288"/>
      <c r="C297" s="207"/>
      <c r="D297" s="234"/>
      <c r="E297" s="207"/>
    </row>
    <row r="298" spans="1:5">
      <c r="A298" s="223"/>
      <c r="B298" s="288"/>
      <c r="C298" s="207"/>
      <c r="D298" s="234"/>
      <c r="E298" s="207"/>
    </row>
    <row r="299" spans="1:5" ht="15.75">
      <c r="A299" s="340" t="s">
        <v>876</v>
      </c>
      <c r="B299" s="288"/>
      <c r="C299" s="207"/>
      <c r="D299" s="234"/>
      <c r="E299" s="207"/>
    </row>
    <row r="300" spans="1:5">
      <c r="A300" s="240" t="s">
        <v>879</v>
      </c>
      <c r="B300" s="197" t="s">
        <v>880</v>
      </c>
      <c r="C300" s="198" t="s">
        <v>881</v>
      </c>
      <c r="D300" s="197" t="s">
        <v>882</v>
      </c>
      <c r="E300" s="198" t="s">
        <v>991</v>
      </c>
    </row>
    <row r="301" spans="1:5">
      <c r="A301" s="241" t="s">
        <v>877</v>
      </c>
      <c r="B301" s="585">
        <v>3745847092.8800001</v>
      </c>
      <c r="C301" s="206">
        <v>0.41035576886348774</v>
      </c>
      <c r="D301" s="249">
        <v>37310</v>
      </c>
      <c r="E301" s="206">
        <v>0.42959124928036846</v>
      </c>
    </row>
    <row r="302" spans="1:5">
      <c r="A302" s="241" t="s">
        <v>878</v>
      </c>
      <c r="B302" s="585">
        <v>5382444446.0799999</v>
      </c>
      <c r="C302" s="206">
        <v>0.58964423113651232</v>
      </c>
      <c r="D302" s="249">
        <v>49540</v>
      </c>
      <c r="E302" s="206">
        <v>0.5704087507196316</v>
      </c>
    </row>
    <row r="303" spans="1:5" ht="13.5" thickBot="1">
      <c r="A303" s="223"/>
      <c r="B303" s="271">
        <v>9128291538.9599991</v>
      </c>
      <c r="C303" s="202">
        <v>1</v>
      </c>
      <c r="D303" s="212">
        <v>86850</v>
      </c>
      <c r="E303" s="202">
        <v>1</v>
      </c>
    </row>
    <row r="304" spans="1:5" ht="13.5" thickTop="1">
      <c r="A304" s="223"/>
      <c r="B304" s="183"/>
      <c r="C304" s="207"/>
      <c r="D304" s="224"/>
      <c r="E304" s="207"/>
    </row>
    <row r="305" spans="1:36">
      <c r="A305" s="223"/>
      <c r="B305" s="183"/>
      <c r="C305" s="207"/>
      <c r="D305" s="224"/>
      <c r="E305" s="207"/>
    </row>
    <row r="306" spans="1:36">
      <c r="A306" s="223"/>
      <c r="B306" s="183"/>
      <c r="C306" s="207"/>
      <c r="D306" s="224"/>
      <c r="E306" s="207"/>
    </row>
    <row r="307" spans="1:36" ht="15.75">
      <c r="A307" s="340" t="s">
        <v>429</v>
      </c>
      <c r="B307" s="183"/>
      <c r="C307" s="207"/>
      <c r="D307" s="224"/>
      <c r="E307" s="207"/>
    </row>
    <row r="308" spans="1:36">
      <c r="A308" s="496" t="s">
        <v>429</v>
      </c>
      <c r="B308" s="197" t="s">
        <v>880</v>
      </c>
      <c r="C308" s="198" t="s">
        <v>881</v>
      </c>
      <c r="D308" s="197" t="s">
        <v>882</v>
      </c>
      <c r="E308" s="198" t="s">
        <v>991</v>
      </c>
    </row>
    <row r="309" spans="1:36">
      <c r="A309" s="193" t="s">
        <v>476</v>
      </c>
      <c r="B309" s="83">
        <v>9128291538.9599991</v>
      </c>
      <c r="C309" s="206">
        <v>1</v>
      </c>
      <c r="D309" s="200">
        <v>86850</v>
      </c>
      <c r="E309" s="206">
        <v>1</v>
      </c>
    </row>
    <row r="310" spans="1:36" ht="13.5" thickBot="1">
      <c r="A310" s="223" t="s">
        <v>814</v>
      </c>
      <c r="B310" s="89">
        <v>9128291538.9599991</v>
      </c>
      <c r="C310" s="202">
        <v>1</v>
      </c>
      <c r="D310" s="203">
        <v>86850</v>
      </c>
      <c r="E310" s="202">
        <v>1</v>
      </c>
    </row>
    <row r="311" spans="1:36" ht="13.5" thickTop="1">
      <c r="A311" s="223"/>
      <c r="B311" s="183"/>
      <c r="C311" s="207"/>
      <c r="D311" s="224"/>
      <c r="E311" s="207"/>
      <c r="I311" s="211"/>
    </row>
    <row r="312" spans="1:36">
      <c r="C312" s="207"/>
      <c r="D312" s="183"/>
      <c r="E312" s="207"/>
      <c r="K312" s="35"/>
    </row>
    <row r="313" spans="1:36" ht="15.75">
      <c r="A313" s="339" t="s">
        <v>604</v>
      </c>
      <c r="K313" s="35"/>
    </row>
    <row r="314" spans="1:36" ht="13.5" thickBot="1">
      <c r="A314" s="240"/>
      <c r="B314" s="197" t="s">
        <v>147</v>
      </c>
      <c r="C314" s="198" t="s">
        <v>148</v>
      </c>
      <c r="D314" s="197" t="s">
        <v>565</v>
      </c>
      <c r="E314" s="678"/>
      <c r="G314" s="64"/>
      <c r="K314" s="35"/>
    </row>
    <row r="315" spans="1:36">
      <c r="A315" s="290" t="s">
        <v>950</v>
      </c>
      <c r="B315" s="272">
        <v>1210</v>
      </c>
      <c r="C315" s="273">
        <v>117488717.28</v>
      </c>
      <c r="D315" s="273">
        <v>9875872.7299999986</v>
      </c>
      <c r="E315" s="679"/>
      <c r="F315" s="258"/>
      <c r="G315" s="241"/>
      <c r="K315" s="35"/>
    </row>
    <row r="316" spans="1:36">
      <c r="A316" s="268" t="s">
        <v>951</v>
      </c>
      <c r="B316" s="274">
        <v>344</v>
      </c>
      <c r="C316" s="275">
        <v>37757063.63000001</v>
      </c>
      <c r="D316" s="275">
        <v>3696514.3</v>
      </c>
      <c r="E316" s="680"/>
      <c r="F316" s="258"/>
      <c r="G316" s="674"/>
      <c r="K316" s="35"/>
      <c r="L316" s="35"/>
      <c r="AI316" s="33"/>
      <c r="AJ316" s="33"/>
    </row>
    <row r="317" spans="1:36">
      <c r="A317" s="268" t="s">
        <v>952</v>
      </c>
      <c r="B317" s="274">
        <v>48</v>
      </c>
      <c r="C317" s="275">
        <v>4994531.74</v>
      </c>
      <c r="D317" s="275">
        <v>661237.18000000005</v>
      </c>
      <c r="E317" s="679"/>
      <c r="F317" s="258"/>
      <c r="G317" s="241"/>
      <c r="K317" s="35"/>
      <c r="L317" s="35"/>
      <c r="AI317" s="33"/>
      <c r="AJ317" s="33"/>
    </row>
    <row r="318" spans="1:36">
      <c r="A318" s="268" t="s">
        <v>953</v>
      </c>
      <c r="B318" s="274">
        <v>17</v>
      </c>
      <c r="C318" s="275">
        <v>1527939.83</v>
      </c>
      <c r="D318" s="275">
        <v>150268.89000000001</v>
      </c>
      <c r="E318" s="679"/>
      <c r="F318" s="258"/>
      <c r="G318" s="241"/>
      <c r="K318" s="35"/>
      <c r="L318" s="35"/>
      <c r="AI318" s="33"/>
      <c r="AJ318" s="33"/>
    </row>
    <row r="319" spans="1:36">
      <c r="A319" s="268" t="s">
        <v>573</v>
      </c>
      <c r="B319" s="274">
        <v>375</v>
      </c>
      <c r="C319" s="275">
        <v>40870047.649999939</v>
      </c>
      <c r="D319" s="275">
        <v>4179326.67</v>
      </c>
      <c r="E319" s="682"/>
      <c r="F319" s="258"/>
      <c r="G319" s="681"/>
      <c r="K319" s="35"/>
      <c r="L319" s="35"/>
      <c r="AI319" s="33"/>
      <c r="AJ319" s="33"/>
    </row>
    <row r="320" spans="1:36">
      <c r="A320" s="268" t="s">
        <v>954</v>
      </c>
      <c r="B320" s="274">
        <v>828</v>
      </c>
      <c r="C320" s="275">
        <v>76142194.440000013</v>
      </c>
      <c r="D320" s="275">
        <v>5668522.2200000053</v>
      </c>
      <c r="G320" s="241"/>
      <c r="K320" s="35"/>
      <c r="L320" s="35"/>
      <c r="AI320" s="33"/>
      <c r="AJ320" s="33"/>
    </row>
    <row r="321" spans="1:36">
      <c r="A321" s="268" t="s">
        <v>140</v>
      </c>
      <c r="B321" s="274">
        <v>278</v>
      </c>
      <c r="C321" s="275">
        <v>29429194.210000001</v>
      </c>
      <c r="D321" s="275">
        <v>1837423.05</v>
      </c>
      <c r="H321" s="674"/>
      <c r="K321" s="35"/>
      <c r="L321" s="35"/>
      <c r="AI321" s="33"/>
      <c r="AJ321" s="33"/>
    </row>
    <row r="322" spans="1:36">
      <c r="A322" s="268" t="s">
        <v>141</v>
      </c>
      <c r="B322" s="274">
        <v>25</v>
      </c>
      <c r="C322" s="275">
        <v>2699857.17</v>
      </c>
      <c r="D322" s="275">
        <v>246928.18</v>
      </c>
      <c r="E322" s="258"/>
      <c r="F322" s="258"/>
      <c r="G322" s="35"/>
      <c r="H322" s="674"/>
      <c r="K322" s="35"/>
      <c r="L322" s="35"/>
      <c r="AI322" s="33"/>
      <c r="AJ322" s="33"/>
    </row>
    <row r="323" spans="1:36">
      <c r="A323" s="268" t="s">
        <v>142</v>
      </c>
      <c r="B323" s="274">
        <v>9</v>
      </c>
      <c r="C323" s="275">
        <v>1171864.83</v>
      </c>
      <c r="D323" s="275">
        <v>111166.25</v>
      </c>
      <c r="E323" s="258"/>
      <c r="F323" s="258"/>
      <c r="G323" s="35"/>
      <c r="H323" s="683"/>
      <c r="L323" s="35"/>
      <c r="AI323" s="33"/>
      <c r="AJ323" s="33"/>
    </row>
    <row r="324" spans="1:36" ht="13.5" thickBot="1">
      <c r="A324" s="268" t="s">
        <v>566</v>
      </c>
      <c r="B324" s="276">
        <v>28</v>
      </c>
      <c r="C324" s="277">
        <v>3378177.73</v>
      </c>
      <c r="D324" s="277">
        <v>326031.26</v>
      </c>
      <c r="E324" s="258"/>
      <c r="F324" s="258"/>
      <c r="G324" s="35"/>
      <c r="H324" s="241"/>
      <c r="K324" s="35"/>
      <c r="L324" s="35"/>
      <c r="AI324" s="33"/>
      <c r="AJ324" s="33"/>
    </row>
    <row r="325" spans="1:36" ht="15.75">
      <c r="A325" s="441"/>
      <c r="B325" s="286"/>
      <c r="C325" s="286"/>
      <c r="D325" s="286"/>
      <c r="E325" s="286"/>
      <c r="F325" s="286"/>
      <c r="G325" s="67"/>
      <c r="H325" s="241"/>
      <c r="K325" s="35"/>
      <c r="L325" s="35"/>
      <c r="AI325" s="33"/>
      <c r="AJ325" s="33"/>
    </row>
    <row r="326" spans="1:36" ht="15.75">
      <c r="A326" s="341" t="s">
        <v>567</v>
      </c>
      <c r="B326" s="346"/>
      <c r="C326" s="347"/>
      <c r="D326" s="348"/>
      <c r="E326" s="348"/>
      <c r="F326" s="348"/>
      <c r="G326" s="52"/>
      <c r="H326" s="674"/>
      <c r="K326" s="35"/>
      <c r="L326" s="35"/>
      <c r="AI326" s="33"/>
      <c r="AJ326" s="33"/>
    </row>
    <row r="327" spans="1:36" ht="13.5" thickBot="1">
      <c r="A327" s="349"/>
      <c r="B327" s="238" t="s">
        <v>147</v>
      </c>
      <c r="C327" s="350" t="s">
        <v>568</v>
      </c>
      <c r="D327" s="238" t="s">
        <v>569</v>
      </c>
      <c r="E327" s="350" t="s">
        <v>570</v>
      </c>
      <c r="F327" s="35"/>
      <c r="G327" s="51"/>
      <c r="H327" s="61"/>
      <c r="K327" s="35"/>
    </row>
    <row r="328" spans="1:36">
      <c r="A328" s="351" t="s">
        <v>143</v>
      </c>
      <c r="B328" s="272">
        <v>224</v>
      </c>
      <c r="C328" s="273">
        <v>23494196.100000001</v>
      </c>
      <c r="D328" s="280">
        <v>27889196.009999983</v>
      </c>
      <c r="E328" s="280">
        <v>25682098.98</v>
      </c>
      <c r="F328" s="269"/>
      <c r="G328" s="51"/>
      <c r="H328" s="61"/>
      <c r="K328" s="35"/>
      <c r="L328" s="35"/>
      <c r="AI328" s="33"/>
      <c r="AJ328" s="33"/>
    </row>
    <row r="329" spans="1:36" ht="13.5" thickBot="1">
      <c r="A329" s="352" t="s">
        <v>144</v>
      </c>
      <c r="B329" s="276">
        <v>6</v>
      </c>
      <c r="C329" s="277">
        <v>493544.27</v>
      </c>
      <c r="D329" s="277">
        <v>588027.43000000005</v>
      </c>
      <c r="E329" s="277">
        <v>455800</v>
      </c>
      <c r="F329" s="269"/>
      <c r="G329" s="51"/>
      <c r="H329" s="461"/>
      <c r="K329" s="35"/>
      <c r="L329" s="35"/>
      <c r="AI329" s="33"/>
      <c r="AJ329" s="33"/>
    </row>
    <row r="330" spans="1:36">
      <c r="A330" s="353"/>
      <c r="B330" s="278"/>
      <c r="C330" s="279"/>
      <c r="D330" s="279"/>
      <c r="E330" s="279"/>
      <c r="F330" s="279"/>
      <c r="G330" s="51"/>
      <c r="H330" s="61"/>
      <c r="I330" s="64"/>
      <c r="L330" s="35"/>
      <c r="AI330" s="33"/>
      <c r="AJ330" s="33"/>
    </row>
    <row r="331" spans="1:36" ht="13.5" thickBot="1">
      <c r="A331" s="353"/>
      <c r="B331" s="278"/>
      <c r="C331" s="279"/>
      <c r="D331" s="279"/>
      <c r="E331" s="279"/>
      <c r="F331" s="279"/>
      <c r="G331" s="51"/>
      <c r="H331" s="61"/>
      <c r="L331" s="35"/>
      <c r="AI331" s="33"/>
      <c r="AJ331" s="33"/>
    </row>
    <row r="332" spans="1:36" ht="13.5" thickBot="1">
      <c r="A332" s="354" t="s">
        <v>145</v>
      </c>
      <c r="B332" s="281" t="s">
        <v>500</v>
      </c>
      <c r="C332" s="279"/>
      <c r="D332" s="269"/>
      <c r="E332" s="269"/>
      <c r="F332" s="269"/>
      <c r="G332" s="51"/>
      <c r="H332" s="61"/>
      <c r="L332" s="35"/>
      <c r="AI332" s="33"/>
      <c r="AJ332" s="33"/>
    </row>
    <row r="333" spans="1:36">
      <c r="A333" s="353"/>
      <c r="B333" s="278"/>
      <c r="C333" s="279"/>
      <c r="D333" s="269"/>
      <c r="E333" s="269"/>
      <c r="F333" s="269"/>
      <c r="G333" s="51"/>
      <c r="H333" s="461"/>
      <c r="L333" s="35"/>
      <c r="AI333" s="33"/>
      <c r="AJ333" s="33"/>
    </row>
    <row r="334" spans="1:36" ht="13.5" thickBot="1">
      <c r="A334" s="349"/>
      <c r="B334" s="238" t="s">
        <v>147</v>
      </c>
      <c r="C334" s="350" t="s">
        <v>569</v>
      </c>
      <c r="D334" s="238" t="s">
        <v>570</v>
      </c>
      <c r="E334" s="350" t="s">
        <v>571</v>
      </c>
      <c r="F334" s="350" t="s">
        <v>53</v>
      </c>
      <c r="G334" s="51"/>
    </row>
    <row r="335" spans="1:36">
      <c r="A335" s="670" t="s">
        <v>850</v>
      </c>
      <c r="B335" s="272">
        <v>224</v>
      </c>
      <c r="C335" s="282">
        <v>27889196.009999983</v>
      </c>
      <c r="D335" s="273">
        <v>25682098.98</v>
      </c>
      <c r="E335" s="283">
        <v>4910578.4400000004</v>
      </c>
      <c r="F335" s="280">
        <v>4210123.13</v>
      </c>
      <c r="G335" s="327"/>
    </row>
    <row r="336" spans="1:36">
      <c r="A336" s="671" t="s">
        <v>220</v>
      </c>
      <c r="B336" s="274">
        <v>169</v>
      </c>
      <c r="C336" s="275">
        <v>21760050.66</v>
      </c>
      <c r="D336" s="275">
        <v>18214996</v>
      </c>
      <c r="E336" s="442">
        <v>4910578.4400000004</v>
      </c>
      <c r="F336" s="684">
        <v>4210123.13</v>
      </c>
      <c r="G336" s="327"/>
    </row>
    <row r="337" spans="1:36">
      <c r="A337" s="671" t="s">
        <v>85</v>
      </c>
      <c r="B337" s="274">
        <v>6</v>
      </c>
      <c r="C337" s="443">
        <v>588027.43000000005</v>
      </c>
      <c r="D337" s="443">
        <v>455800</v>
      </c>
      <c r="E337" s="443">
        <v>118989.67</v>
      </c>
      <c r="F337" s="275">
        <v>118989.67</v>
      </c>
      <c r="G337" s="327"/>
    </row>
    <row r="338" spans="1:36" ht="13.5" thickBot="1">
      <c r="A338" s="672" t="s">
        <v>146</v>
      </c>
      <c r="B338" s="276">
        <v>6</v>
      </c>
      <c r="C338" s="284">
        <v>588027.43000000005</v>
      </c>
      <c r="D338" s="284">
        <v>455800</v>
      </c>
      <c r="E338" s="284">
        <v>118989.67</v>
      </c>
      <c r="F338" s="285">
        <v>118989.67</v>
      </c>
      <c r="G338" s="327"/>
    </row>
    <row r="339" spans="1:36">
      <c r="A339" s="353"/>
      <c r="B339" s="355"/>
      <c r="C339" s="279"/>
      <c r="D339" s="269"/>
      <c r="E339" s="269"/>
      <c r="F339" s="269"/>
      <c r="G339" s="51"/>
    </row>
    <row r="340" spans="1:36" ht="13.5" thickBot="1">
      <c r="A340" s="353"/>
      <c r="B340" s="661" t="s">
        <v>147</v>
      </c>
      <c r="C340" s="662" t="s">
        <v>223</v>
      </c>
      <c r="D340" s="269"/>
      <c r="E340" s="269"/>
      <c r="F340" s="269"/>
      <c r="G340" s="51"/>
    </row>
    <row r="341" spans="1:36" ht="13.5" thickBot="1">
      <c r="A341" s="673" t="s">
        <v>224</v>
      </c>
      <c r="B341" s="694">
        <v>17</v>
      </c>
      <c r="C341" s="695">
        <v>700455.31</v>
      </c>
      <c r="D341" s="269"/>
      <c r="E341" s="269"/>
      <c r="F341" s="269"/>
      <c r="G341" s="51"/>
    </row>
    <row r="342" spans="1:36">
      <c r="A342" s="353"/>
      <c r="B342" s="355"/>
      <c r="C342" s="279"/>
      <c r="D342" s="269"/>
      <c r="E342" s="269"/>
      <c r="F342" s="269"/>
      <c r="G342" s="51"/>
      <c r="H342" s="64"/>
      <c r="I342" s="64"/>
      <c r="J342" s="64"/>
      <c r="K342" s="64"/>
    </row>
    <row r="343" spans="1:36" s="64" customFormat="1">
      <c r="A343" s="385" t="s">
        <v>673</v>
      </c>
      <c r="B343" s="355"/>
      <c r="C343" s="279"/>
      <c r="D343" s="269"/>
      <c r="E343" s="269"/>
      <c r="F343" s="269"/>
      <c r="G343" s="51"/>
      <c r="H343" s="33"/>
      <c r="I343" s="33"/>
      <c r="J343" s="33"/>
      <c r="K343" s="33"/>
      <c r="L343" s="33"/>
      <c r="M343" s="99"/>
      <c r="N343" s="99"/>
      <c r="O343" s="99"/>
      <c r="P343" s="99"/>
      <c r="Q343" s="99"/>
      <c r="R343" s="99"/>
      <c r="S343" s="99"/>
      <c r="T343" s="99"/>
      <c r="U343" s="99"/>
      <c r="V343" s="99"/>
      <c r="W343" s="99"/>
      <c r="X343" s="99"/>
      <c r="Y343" s="99"/>
      <c r="Z343" s="99"/>
      <c r="AA343" s="99"/>
      <c r="AB343" s="99"/>
      <c r="AC343" s="99"/>
      <c r="AD343" s="99"/>
      <c r="AE343" s="99"/>
      <c r="AF343" s="99"/>
      <c r="AG343" s="99"/>
      <c r="AH343" s="99"/>
      <c r="AI343" s="99"/>
      <c r="AJ343" s="99"/>
    </row>
    <row r="344" spans="1:36">
      <c r="A344" s="353" t="s">
        <v>149</v>
      </c>
      <c r="B344" s="355"/>
      <c r="C344" s="279"/>
      <c r="D344" s="269"/>
      <c r="E344" s="269"/>
      <c r="F344" s="269"/>
      <c r="G344" s="51"/>
    </row>
    <row r="345" spans="1:36">
      <c r="A345" s="353" t="s">
        <v>76</v>
      </c>
      <c r="B345" s="355"/>
      <c r="C345" s="279"/>
      <c r="D345" s="269"/>
      <c r="E345" s="269"/>
      <c r="F345" s="269"/>
      <c r="G345" s="51"/>
    </row>
    <row r="346" spans="1:36">
      <c r="A346" s="353" t="s">
        <v>151</v>
      </c>
      <c r="B346" s="355"/>
      <c r="C346" s="279"/>
      <c r="D346" s="269"/>
      <c r="E346" s="269"/>
      <c r="F346" s="269"/>
      <c r="G346" s="356"/>
      <c r="L346" s="64"/>
    </row>
    <row r="347" spans="1:36">
      <c r="A347" s="357"/>
      <c r="B347" s="67"/>
      <c r="C347" s="67"/>
      <c r="D347" s="358"/>
      <c r="E347" s="358"/>
      <c r="F347" s="358"/>
      <c r="G347" s="53"/>
    </row>
    <row r="348" spans="1:36">
      <c r="A348" s="33"/>
      <c r="B348" s="33"/>
      <c r="C348" s="33"/>
      <c r="D348" s="258"/>
      <c r="E348" s="258"/>
      <c r="F348" s="258"/>
    </row>
    <row r="350" spans="1:36">
      <c r="A350" s="242"/>
    </row>
    <row r="351" spans="1:36" ht="15.75">
      <c r="A351" s="341" t="s">
        <v>557</v>
      </c>
      <c r="B351" s="306"/>
      <c r="C351" s="342" t="s">
        <v>558</v>
      </c>
      <c r="D351" s="344" t="s">
        <v>559</v>
      </c>
    </row>
    <row r="352" spans="1:36">
      <c r="A352" s="307" t="e">
        <f>"Mortgage Accounts repurchased as of "&amp;TEXT(EOMONTH(B5,-1)+1, "dd mmmm yyyy")</f>
        <v>#REF!</v>
      </c>
      <c r="B352" s="183"/>
      <c r="C352" s="343">
        <f>'[3]Monthly Report'!$C$443</f>
        <v>845</v>
      </c>
      <c r="D352" s="345">
        <f>'[3]Monthly Report'!$D$443</f>
        <v>31574615.710000001</v>
      </c>
    </row>
    <row r="353" spans="1:11">
      <c r="A353" s="1351" t="s">
        <v>420</v>
      </c>
      <c r="B353" s="1352"/>
      <c r="C353" s="343">
        <f>'[3]Monthly Report'!$C$444</f>
        <v>215412</v>
      </c>
      <c r="D353" s="345">
        <f>'[3]Monthly Report'!$D$444</f>
        <v>18871565783.149998</v>
      </c>
    </row>
    <row r="354" spans="1:11">
      <c r="A354" s="307"/>
      <c r="B354" s="183"/>
      <c r="C354" s="343"/>
      <c r="D354" s="345"/>
    </row>
    <row r="355" spans="1:11" ht="15.75">
      <c r="A355" s="341" t="s">
        <v>725</v>
      </c>
      <c r="B355" s="306"/>
      <c r="C355" s="453"/>
      <c r="D355" s="454"/>
    </row>
    <row r="356" spans="1:11">
      <c r="A356" s="307" t="e">
        <f>"Mortgage Accounts added as of  "&amp;TEXT(EOMONTH(B5,-1)+1, "dd mmmm yyyy")</f>
        <v>#REF!</v>
      </c>
      <c r="B356" s="183"/>
      <c r="C356" s="455">
        <f>'[4]Monthly Report'!$C$451</f>
        <v>0</v>
      </c>
      <c r="D356" s="456">
        <f>'[4]Monthly Report'!$D$451</f>
        <v>0</v>
      </c>
    </row>
    <row r="357" spans="1:11">
      <c r="A357" s="1351" t="s">
        <v>54</v>
      </c>
      <c r="B357" s="1352"/>
      <c r="C357" s="343">
        <f>'[3]Monthly Report'!$C$448</f>
        <v>129097</v>
      </c>
      <c r="D357" s="345">
        <f>'[3]Monthly Report'!$D$448</f>
        <v>29112475617.349998</v>
      </c>
    </row>
    <row r="358" spans="1:11">
      <c r="A358" s="309"/>
      <c r="B358" s="310"/>
      <c r="C358" s="457"/>
      <c r="D358" s="458"/>
    </row>
    <row r="359" spans="1:11">
      <c r="G359" s="35"/>
      <c r="H359" s="35"/>
      <c r="I359" s="35"/>
      <c r="J359" s="35"/>
      <c r="K359" s="35"/>
    </row>
    <row r="360" spans="1:11">
      <c r="A360" s="56"/>
      <c r="G360" s="548"/>
      <c r="H360" s="361"/>
      <c r="I360" s="549"/>
      <c r="J360" s="548"/>
      <c r="K360" s="35"/>
    </row>
    <row r="361" spans="1:11">
      <c r="A361" s="90"/>
      <c r="C361" s="218"/>
      <c r="D361" s="183"/>
      <c r="E361" s="218"/>
      <c r="G361" s="67"/>
      <c r="H361" s="311"/>
      <c r="I361" s="550"/>
      <c r="J361" s="67"/>
      <c r="K361" s="67"/>
    </row>
    <row r="362" spans="1:11" ht="15.75">
      <c r="A362" s="341" t="s">
        <v>55</v>
      </c>
      <c r="B362" s="306"/>
      <c r="C362" s="359"/>
      <c r="D362" s="306"/>
      <c r="E362" s="359"/>
      <c r="F362" s="66"/>
      <c r="G362" s="66"/>
      <c r="H362" s="66"/>
      <c r="I362" s="66"/>
      <c r="J362" s="66"/>
      <c r="K362" s="52"/>
    </row>
    <row r="363" spans="1:11">
      <c r="A363" s="360"/>
      <c r="B363" s="310"/>
      <c r="C363" s="218"/>
      <c r="D363" s="183"/>
      <c r="E363" s="218"/>
      <c r="F363" s="218"/>
      <c r="G363" s="35"/>
      <c r="H363" s="35"/>
      <c r="I363" s="35"/>
      <c r="J363" s="35"/>
      <c r="K363" s="51"/>
    </row>
    <row r="364" spans="1:11">
      <c r="A364" s="383" t="s">
        <v>56</v>
      </c>
      <c r="B364" s="382"/>
      <c r="C364" s="376" t="s">
        <v>501</v>
      </c>
      <c r="D364" s="365"/>
      <c r="E364" s="375"/>
      <c r="F364" s="376" t="s">
        <v>502</v>
      </c>
      <c r="G364" s="377"/>
      <c r="H364" s="375"/>
      <c r="I364" s="376" t="s">
        <v>503</v>
      </c>
      <c r="J364" s="377"/>
      <c r="K364" s="51"/>
    </row>
    <row r="365" spans="1:11">
      <c r="A365" s="384"/>
      <c r="B365" s="366"/>
      <c r="C365" s="366"/>
      <c r="D365" s="367"/>
      <c r="E365" s="374"/>
      <c r="F365" s="207"/>
      <c r="G365" s="51"/>
      <c r="H365" s="378"/>
      <c r="I365" s="379"/>
      <c r="J365" s="52"/>
      <c r="K365" s="51"/>
    </row>
    <row r="366" spans="1:11">
      <c r="A366" s="384"/>
      <c r="B366" s="362" t="s">
        <v>559</v>
      </c>
      <c r="C366" s="362" t="s">
        <v>57</v>
      </c>
      <c r="D366" s="369" t="s">
        <v>58</v>
      </c>
      <c r="E366" s="368" t="s">
        <v>559</v>
      </c>
      <c r="F366" s="362" t="s">
        <v>57</v>
      </c>
      <c r="G366" s="369" t="s">
        <v>58</v>
      </c>
      <c r="H366" s="368" t="s">
        <v>559</v>
      </c>
      <c r="I366" s="362" t="s">
        <v>57</v>
      </c>
      <c r="J366" s="369" t="s">
        <v>58</v>
      </c>
      <c r="K366" s="51"/>
    </row>
    <row r="367" spans="1:11">
      <c r="A367" s="384" t="s">
        <v>59</v>
      </c>
      <c r="B367" s="233">
        <f>'[3]Monthly Report'!$C$455</f>
        <v>137278785.97999999</v>
      </c>
      <c r="C367" s="204">
        <f>'[3]Monthly Report'!$D$455</f>
        <v>1.4858537987567401E-2</v>
      </c>
      <c r="D367" s="371">
        <f>'[3]Monthly Report'!$E$455</f>
        <v>0.16160007310489011</v>
      </c>
      <c r="E367" s="370">
        <f>'[5]Monthly Report'!$C$458</f>
        <v>132184591.97999999</v>
      </c>
      <c r="F367" s="218">
        <f>'[5]Monthly Report'!$D$458</f>
        <v>1.4136808985311207E-2</v>
      </c>
      <c r="G367" s="371">
        <f>'[5]Monthly Report'!$E$458</f>
        <v>0.15433947019365335</v>
      </c>
      <c r="H367" s="370">
        <f>'[6]Monthly Report'!$C$458</f>
        <v>121744657.17</v>
      </c>
      <c r="I367" s="218">
        <f>'[6]Monthly Report'!$D$458</f>
        <v>1.2869404284788326E-2</v>
      </c>
      <c r="J367" s="371">
        <f>'[6]Monthly Report'!$E$458</f>
        <v>0.14144997838607121</v>
      </c>
      <c r="K367" s="51"/>
    </row>
    <row r="368" spans="1:11">
      <c r="A368" s="384" t="s">
        <v>60</v>
      </c>
      <c r="B368" s="363">
        <f>'[3]Monthly Report'!$C$456</f>
        <v>98226538.679999992</v>
      </c>
      <c r="C368" s="364">
        <f>'[3]Monthly Report'!$D$456</f>
        <v>1.0631670042424997E-2</v>
      </c>
      <c r="D368" s="373">
        <f>'[3]Monthly Report'!$E$456</f>
        <v>0.11825248481316952</v>
      </c>
      <c r="E368" s="372">
        <f>'[5]Monthly Report'!$C$459</f>
        <v>92197633.559999987</v>
      </c>
      <c r="F368" s="311">
        <f>'[5]Monthly Report'!$D$459</f>
        <v>9.8603045560154562E-3</v>
      </c>
      <c r="G368" s="373">
        <f>'[5]Monthly Report'!$E$459</f>
        <v>0.11012413314187586</v>
      </c>
      <c r="H368" s="372">
        <f>'[6]Monthly Report'!$C$459</f>
        <v>89073143.620000005</v>
      </c>
      <c r="I368" s="311">
        <f>'[6]Monthly Report'!$D$459</f>
        <v>9.4157585458729005E-3</v>
      </c>
      <c r="J368" s="373">
        <f>'[6]Monthly Report'!$E$459</f>
        <v>0.1054085921817367</v>
      </c>
      <c r="K368" s="51"/>
    </row>
    <row r="369" spans="1:11">
      <c r="A369" s="307"/>
      <c r="B369" s="306"/>
      <c r="C369" s="218"/>
      <c r="D369" s="183"/>
      <c r="E369" s="218"/>
      <c r="F369" s="218"/>
      <c r="G369" s="35"/>
      <c r="H369" s="380"/>
      <c r="I369" s="380"/>
      <c r="J369" s="380"/>
      <c r="K369" s="381"/>
    </row>
    <row r="370" spans="1:11">
      <c r="A370" s="385" t="s">
        <v>673</v>
      </c>
      <c r="B370" s="183"/>
      <c r="C370" s="233"/>
      <c r="D370" s="204"/>
      <c r="E370" s="204"/>
      <c r="F370" s="35"/>
      <c r="G370" s="35"/>
      <c r="H370" s="35"/>
      <c r="I370" s="35"/>
      <c r="J370" s="35"/>
      <c r="K370" s="51"/>
    </row>
    <row r="371" spans="1:11" ht="41.25" customHeight="1">
      <c r="A371" s="1355" t="s">
        <v>376</v>
      </c>
      <c r="B371" s="1356"/>
      <c r="C371" s="1356"/>
      <c r="D371" s="1356"/>
      <c r="E371" s="1356"/>
      <c r="F371" s="1356"/>
      <c r="G371" s="1356"/>
      <c r="H371" s="1356"/>
      <c r="I371" s="1356"/>
      <c r="J371" s="1356"/>
      <c r="K371" s="1357"/>
    </row>
    <row r="372" spans="1:11">
      <c r="A372" s="178"/>
    </row>
    <row r="373" spans="1:11">
      <c r="A373" s="178"/>
    </row>
    <row r="374" spans="1:11" ht="13.5" customHeight="1">
      <c r="A374" s="178"/>
      <c r="D374" s="83" t="s">
        <v>639</v>
      </c>
    </row>
    <row r="375" spans="1:11" ht="19.5" customHeight="1">
      <c r="A375" s="409" t="s">
        <v>377</v>
      </c>
    </row>
    <row r="376" spans="1:11" ht="9.75" customHeight="1">
      <c r="A376" s="243"/>
      <c r="K376" s="181"/>
    </row>
    <row r="377" spans="1:11" ht="9.75" customHeight="1">
      <c r="A377" s="243"/>
      <c r="K377" s="181"/>
    </row>
    <row r="378" spans="1:11" ht="22.5" customHeight="1">
      <c r="A378" s="387" t="s">
        <v>61</v>
      </c>
      <c r="B378" s="388"/>
      <c r="C378" s="334"/>
      <c r="D378" s="289" t="s">
        <v>62</v>
      </c>
      <c r="E378" s="389"/>
    </row>
    <row r="379" spans="1:11" ht="9.75" customHeight="1">
      <c r="A379" s="190"/>
      <c r="B379" s="55"/>
      <c r="E379" s="180"/>
      <c r="K379" s="181"/>
    </row>
    <row r="380" spans="1:11">
      <c r="A380" s="190"/>
      <c r="B380" s="55"/>
      <c r="E380" s="180"/>
    </row>
    <row r="381" spans="1:11">
      <c r="A381" s="1358" t="s">
        <v>754</v>
      </c>
      <c r="B381" s="1359"/>
      <c r="C381" s="314"/>
      <c r="D381" s="313" t="s">
        <v>63</v>
      </c>
      <c r="E381" s="392"/>
    </row>
    <row r="382" spans="1:11">
      <c r="A382" s="1349" t="s">
        <v>118</v>
      </c>
      <c r="B382" s="1350"/>
      <c r="C382" s="316"/>
      <c r="D382" s="360"/>
      <c r="E382" s="393"/>
    </row>
    <row r="383" spans="1:11">
      <c r="A383" s="315" t="s">
        <v>116</v>
      </c>
      <c r="B383" s="90"/>
      <c r="C383" s="316"/>
      <c r="D383" s="394"/>
      <c r="E383" s="393"/>
    </row>
    <row r="384" spans="1:11">
      <c r="A384" s="315" t="s">
        <v>115</v>
      </c>
      <c r="B384" s="90"/>
      <c r="C384" s="316"/>
      <c r="D384" s="394"/>
      <c r="E384" s="393"/>
    </row>
    <row r="385" spans="1:7">
      <c r="A385" s="390" t="s">
        <v>117</v>
      </c>
      <c r="B385" s="391"/>
      <c r="C385" s="317"/>
      <c r="D385" s="395"/>
      <c r="E385" s="396"/>
    </row>
    <row r="386" spans="1:7" ht="13.5" customHeight="1">
      <c r="A386" s="190"/>
      <c r="B386" s="55"/>
      <c r="E386" s="180"/>
    </row>
    <row r="387" spans="1:7" ht="13.5" customHeight="1">
      <c r="A387" s="33"/>
    </row>
    <row r="388" spans="1:7" ht="42.75" customHeight="1">
      <c r="A388" s="1360" t="s">
        <v>137</v>
      </c>
      <c r="B388" s="1361"/>
      <c r="C388" s="1362"/>
      <c r="D388" s="289" t="s">
        <v>138</v>
      </c>
      <c r="E388" s="397"/>
    </row>
    <row r="389" spans="1:7" ht="13.5" customHeight="1">
      <c r="A389" s="33"/>
      <c r="B389" s="184"/>
    </row>
    <row r="390" spans="1:7" ht="13.5" customHeight="1">
      <c r="A390" s="178"/>
      <c r="B390" s="184"/>
    </row>
    <row r="391" spans="1:7" ht="13.5" customHeight="1">
      <c r="A391" s="190"/>
    </row>
    <row r="392" spans="1:7" ht="25.5" customHeight="1">
      <c r="A392" s="398" t="s">
        <v>2</v>
      </c>
      <c r="B392" s="306"/>
      <c r="C392" s="314"/>
      <c r="D392" s="1329" t="str">
        <f>+IF(B295&lt;2%,"No arrears or step-up trigger event has occurred","N/A")</f>
        <v>No arrears or step-up trigger event has occurred</v>
      </c>
      <c r="E392" s="1330"/>
    </row>
    <row r="393" spans="1:7" ht="45" customHeight="1">
      <c r="A393" s="1363" t="s">
        <v>154</v>
      </c>
      <c r="B393" s="1364"/>
      <c r="C393" s="1365"/>
      <c r="D393" s="395"/>
      <c r="E393" s="53"/>
      <c r="G393" s="87"/>
    </row>
    <row r="394" spans="1:7" ht="13.5" customHeight="1">
      <c r="A394" s="60"/>
      <c r="B394" s="60"/>
      <c r="C394" s="60"/>
      <c r="E394" s="33"/>
      <c r="G394" s="87"/>
    </row>
    <row r="395" spans="1:7" ht="13.5" customHeight="1">
      <c r="A395" s="33"/>
      <c r="B395" s="33"/>
      <c r="E395" s="33"/>
    </row>
    <row r="396" spans="1:7" ht="13.5" customHeight="1">
      <c r="A396" s="178"/>
      <c r="B396" s="55"/>
      <c r="E396" s="33"/>
    </row>
    <row r="397" spans="1:7" ht="18.75" customHeight="1">
      <c r="A397" s="399" t="s">
        <v>406</v>
      </c>
      <c r="B397" s="400"/>
      <c r="C397" s="334"/>
      <c r="D397" s="400"/>
      <c r="E397" s="401"/>
      <c r="G397" s="551"/>
    </row>
    <row r="398" spans="1:7" ht="22.5" customHeight="1">
      <c r="A398" s="189"/>
    </row>
    <row r="399" spans="1:7" ht="19.5" customHeight="1">
      <c r="A399" s="399" t="s">
        <v>155</v>
      </c>
      <c r="B399" s="329"/>
      <c r="C399" s="386"/>
      <c r="D399" s="329"/>
      <c r="E399" s="397"/>
    </row>
    <row r="400" spans="1:7" ht="21.75" customHeight="1">
      <c r="A400" s="189"/>
      <c r="G400" s="67"/>
    </row>
    <row r="401" spans="1:7" ht="75" customHeight="1">
      <c r="A401" s="1336" t="s">
        <v>572</v>
      </c>
      <c r="B401" s="1337"/>
      <c r="C401" s="1337"/>
      <c r="D401" s="1337"/>
      <c r="E401" s="1338"/>
      <c r="F401" s="1339" t="e">
        <f>+IF(SUM(#REF!)+SUM(#REF!)+SUM(#REF!)&lt;=0,"There has been no amortisation of subordinated loan note tranches, therefore no repayment tests are applicable to this interest period",+IF(AND(B295&lt;4%,#REF!&lt;2%),"No breach","No payment of subordinated loan not tranches permitted"))</f>
        <v>#REF!</v>
      </c>
      <c r="G401" s="1340"/>
    </row>
    <row r="402" spans="1:7">
      <c r="A402" s="189"/>
    </row>
    <row r="403" spans="1:7">
      <c r="A403" s="189"/>
    </row>
    <row r="404" spans="1:7">
      <c r="A404" s="398" t="s">
        <v>3</v>
      </c>
      <c r="B404" s="306"/>
      <c r="C404" s="322" t="s">
        <v>959</v>
      </c>
      <c r="D404" s="402" t="s">
        <v>442</v>
      </c>
      <c r="E404" s="403" t="s">
        <v>444</v>
      </c>
      <c r="F404" s="398" t="s">
        <v>432</v>
      </c>
      <c r="G404" s="52"/>
    </row>
    <row r="405" spans="1:7">
      <c r="A405" s="315" t="s">
        <v>4</v>
      </c>
      <c r="B405" s="183"/>
      <c r="C405" s="308" t="s">
        <v>801</v>
      </c>
      <c r="D405" s="323" t="s">
        <v>802</v>
      </c>
      <c r="E405" s="327" t="s">
        <v>988</v>
      </c>
      <c r="F405" s="407"/>
      <c r="G405" s="51"/>
    </row>
    <row r="406" spans="1:7">
      <c r="A406" s="315" t="s">
        <v>6</v>
      </c>
      <c r="B406" s="183"/>
      <c r="C406" s="323" t="s">
        <v>451</v>
      </c>
      <c r="D406" s="308" t="s">
        <v>7</v>
      </c>
      <c r="E406" s="327" t="s">
        <v>451</v>
      </c>
      <c r="F406" s="407"/>
      <c r="G406" s="51"/>
    </row>
    <row r="407" spans="1:7">
      <c r="A407" s="390" t="s">
        <v>8</v>
      </c>
      <c r="B407" s="310"/>
      <c r="C407" s="404" t="s">
        <v>430</v>
      </c>
      <c r="D407" s="405" t="s">
        <v>459</v>
      </c>
      <c r="E407" s="406" t="s">
        <v>450</v>
      </c>
      <c r="F407" s="408"/>
      <c r="G407" s="53"/>
    </row>
    <row r="408" spans="1:7">
      <c r="A408" s="190"/>
      <c r="C408" s="188"/>
      <c r="D408" s="86"/>
      <c r="E408" s="87"/>
      <c r="F408" s="87"/>
    </row>
    <row r="409" spans="1:7">
      <c r="A409" s="33"/>
      <c r="E409" s="33"/>
    </row>
    <row r="410" spans="1:7" ht="12.75" customHeight="1">
      <c r="A410" s="398" t="s">
        <v>433</v>
      </c>
      <c r="B410" s="306"/>
      <c r="C410" s="359"/>
      <c r="D410" s="306"/>
      <c r="E410" s="314"/>
      <c r="F410" s="1341" t="s">
        <v>227</v>
      </c>
      <c r="G410" s="1342"/>
    </row>
    <row r="411" spans="1:7" ht="12.75" customHeight="1">
      <c r="A411" s="315" t="s">
        <v>1027</v>
      </c>
      <c r="B411" s="218" t="s">
        <v>30</v>
      </c>
      <c r="C411" s="308" t="s">
        <v>801</v>
      </c>
      <c r="D411" s="323" t="s">
        <v>802</v>
      </c>
      <c r="E411" s="327" t="s">
        <v>5</v>
      </c>
      <c r="F411" s="1343"/>
      <c r="G411" s="1344"/>
    </row>
    <row r="412" spans="1:7">
      <c r="A412" s="307"/>
      <c r="B412" s="218" t="s">
        <v>31</v>
      </c>
      <c r="C412" s="308" t="s">
        <v>430</v>
      </c>
      <c r="D412" s="323" t="s">
        <v>11</v>
      </c>
      <c r="E412" s="327" t="s">
        <v>32</v>
      </c>
      <c r="F412" s="1343"/>
      <c r="G412" s="1344"/>
    </row>
    <row r="413" spans="1:7">
      <c r="A413" s="315" t="s">
        <v>33</v>
      </c>
      <c r="B413" s="218" t="s">
        <v>30</v>
      </c>
      <c r="C413" s="308" t="s">
        <v>430</v>
      </c>
      <c r="D413" s="323" t="s">
        <v>34</v>
      </c>
      <c r="E413" s="327" t="s">
        <v>35</v>
      </c>
      <c r="F413" s="1343"/>
      <c r="G413" s="1344"/>
    </row>
    <row r="414" spans="1:7">
      <c r="A414" s="315"/>
      <c r="B414" s="218" t="s">
        <v>31</v>
      </c>
      <c r="C414" s="308" t="s">
        <v>451</v>
      </c>
      <c r="D414" s="323" t="s">
        <v>459</v>
      </c>
      <c r="E414" s="327" t="s">
        <v>36</v>
      </c>
      <c r="F414" s="1343"/>
      <c r="G414" s="1344"/>
    </row>
    <row r="415" spans="1:7">
      <c r="A415" s="315" t="s">
        <v>37</v>
      </c>
      <c r="B415" s="218" t="s">
        <v>30</v>
      </c>
      <c r="C415" s="308" t="s">
        <v>430</v>
      </c>
      <c r="D415" s="323" t="s">
        <v>430</v>
      </c>
      <c r="E415" s="327" t="s">
        <v>226</v>
      </c>
      <c r="F415" s="1343"/>
      <c r="G415" s="1344"/>
    </row>
    <row r="416" spans="1:7">
      <c r="A416" s="390"/>
      <c r="B416" s="311" t="s">
        <v>31</v>
      </c>
      <c r="C416" s="405" t="s">
        <v>430</v>
      </c>
      <c r="D416" s="404" t="s">
        <v>430</v>
      </c>
      <c r="E416" s="406" t="s">
        <v>451</v>
      </c>
      <c r="F416" s="1345"/>
      <c r="G416" s="1346"/>
    </row>
    <row r="417" spans="1:7">
      <c r="A417" s="325"/>
      <c r="B417" s="218"/>
      <c r="C417" s="308"/>
      <c r="D417" s="323"/>
      <c r="E417" s="216"/>
      <c r="F417" s="413"/>
    </row>
    <row r="418" spans="1:7">
      <c r="A418" s="325"/>
      <c r="B418" s="218"/>
      <c r="C418" s="308"/>
      <c r="D418" s="323"/>
      <c r="E418" s="216"/>
      <c r="F418" s="413"/>
    </row>
    <row r="419" spans="1:7">
      <c r="A419" s="459"/>
    </row>
    <row r="420" spans="1:7" ht="18.75">
      <c r="A420" s="460" t="e">
        <f>"Mortgage Assets (as of "&amp;TEXT(EOMONTH(B5,-1)+1,"dd mmmm yyyy )"&amp;"")</f>
        <v>#REF!</v>
      </c>
      <c r="B420" s="306"/>
      <c r="C420" s="359"/>
      <c r="D420" s="306"/>
      <c r="E420" s="359"/>
      <c r="F420" s="66"/>
      <c r="G420" s="52"/>
    </row>
    <row r="421" spans="1:7">
      <c r="A421" s="307" t="s">
        <v>228</v>
      </c>
      <c r="B421" s="183"/>
      <c r="C421" s="731">
        <f>[2]SharecCalc!$B$76</f>
        <v>9122772321.1499996</v>
      </c>
      <c r="D421" s="183"/>
      <c r="E421" s="218"/>
      <c r="F421" s="35"/>
      <c r="G421" s="51"/>
    </row>
    <row r="422" spans="1:7" ht="14.25" customHeight="1">
      <c r="A422" s="307" t="s">
        <v>229</v>
      </c>
      <c r="B422" s="183"/>
      <c r="C422" s="732">
        <f>[3]Inputs!$B$125</f>
        <v>358748750.89999998</v>
      </c>
      <c r="D422" s="183"/>
      <c r="E422" s="218"/>
      <c r="F422" s="35"/>
      <c r="G422" s="51"/>
    </row>
    <row r="423" spans="1:7" ht="14.25" customHeight="1">
      <c r="A423" s="307" t="s">
        <v>230</v>
      </c>
      <c r="B423" s="183"/>
      <c r="C423" s="733">
        <f>[2]SharecCalc!$B$25</f>
        <v>4617826371.8599997</v>
      </c>
      <c r="D423" s="183"/>
      <c r="E423" s="218"/>
      <c r="F423" s="35"/>
      <c r="G423" s="51"/>
    </row>
    <row r="424" spans="1:7" ht="14.25" customHeight="1">
      <c r="A424" s="307" t="s">
        <v>231</v>
      </c>
      <c r="B424" s="183"/>
      <c r="C424" s="734">
        <f>[3]SharecCalc!$B$38</f>
        <v>100</v>
      </c>
      <c r="D424" s="183"/>
      <c r="E424" s="218"/>
      <c r="F424" s="35"/>
      <c r="G424" s="51"/>
    </row>
    <row r="425" spans="1:7" ht="14.25" customHeight="1">
      <c r="A425" s="307" t="s">
        <v>232</v>
      </c>
      <c r="B425" s="183"/>
      <c r="C425" s="734">
        <f>SUM(C423:C424)</f>
        <v>4617826471.8599997</v>
      </c>
      <c r="D425" s="183"/>
      <c r="E425" s="218"/>
      <c r="F425" s="35"/>
      <c r="G425" s="51"/>
    </row>
    <row r="426" spans="1:7" ht="14.25" customHeight="1">
      <c r="A426" s="307" t="s">
        <v>477</v>
      </c>
      <c r="B426" s="183"/>
      <c r="C426" s="735">
        <f>[2]SharecCalc!$B$77</f>
        <v>0.50618669999999999</v>
      </c>
      <c r="D426" s="183"/>
      <c r="E426" s="218"/>
      <c r="F426" s="35"/>
      <c r="G426" s="51"/>
    </row>
    <row r="427" spans="1:7" ht="14.25" customHeight="1">
      <c r="A427" s="307" t="s">
        <v>43</v>
      </c>
      <c r="B427" s="183"/>
      <c r="C427" s="735">
        <f>[2]SharecCalc!$B$81</f>
        <v>0</v>
      </c>
      <c r="D427" s="183"/>
      <c r="E427" s="218"/>
      <c r="F427" s="35"/>
      <c r="G427" s="51"/>
    </row>
    <row r="428" spans="1:7" ht="14.25" customHeight="1">
      <c r="A428" s="307" t="s">
        <v>44</v>
      </c>
      <c r="B428" s="183"/>
      <c r="C428" s="736">
        <f>[2]SharecCalc!$B$46</f>
        <v>4504945849.29</v>
      </c>
      <c r="D428" s="183"/>
      <c r="E428" s="218"/>
      <c r="F428" s="35"/>
      <c r="G428" s="686"/>
    </row>
    <row r="429" spans="1:7" ht="14.25" customHeight="1">
      <c r="A429" s="307" t="s">
        <v>45</v>
      </c>
      <c r="B429" s="183"/>
      <c r="C429" s="735">
        <f>[2]SharecCalc!$B$85</f>
        <v>0.49381330000000001</v>
      </c>
      <c r="D429" s="183"/>
      <c r="E429" s="218"/>
      <c r="F429" s="35"/>
      <c r="G429" s="687"/>
    </row>
    <row r="430" spans="1:7" ht="14.25" customHeight="1">
      <c r="A430" s="307" t="s">
        <v>46</v>
      </c>
      <c r="B430" s="183"/>
      <c r="C430" s="736">
        <f>[3]SharecCalc!$B$190</f>
        <v>1030546026.7406</v>
      </c>
      <c r="D430" s="411"/>
      <c r="E430" s="218"/>
      <c r="F430" s="35"/>
      <c r="G430" s="51"/>
    </row>
    <row r="431" spans="1:7" ht="14.25" customHeight="1">
      <c r="A431" s="307" t="s">
        <v>47</v>
      </c>
      <c r="B431" s="183"/>
      <c r="C431" s="737">
        <f>(C430/SUM(C423+C424+C428))</f>
        <v>0.11296412871681656</v>
      </c>
      <c r="D431" s="183"/>
      <c r="E431" s="218"/>
      <c r="F431" s="35"/>
      <c r="G431" s="51"/>
    </row>
    <row r="432" spans="1:7" ht="14.25" customHeight="1">
      <c r="A432" s="307" t="s">
        <v>42</v>
      </c>
      <c r="B432" s="183"/>
      <c r="C432" s="731" t="e">
        <f>+#REF!-SUM(#REF!)</f>
        <v>#REF!</v>
      </c>
      <c r="D432" s="183"/>
      <c r="E432" s="218"/>
      <c r="F432" s="35"/>
      <c r="G432" s="51"/>
    </row>
    <row r="433" spans="1:7" ht="14.25" customHeight="1">
      <c r="A433" s="462" t="s">
        <v>560</v>
      </c>
      <c r="B433" s="183"/>
      <c r="C433" s="738" t="e">
        <f>B730/(#REF!/365)</f>
        <v>#REF!</v>
      </c>
      <c r="D433" s="183"/>
      <c r="E433" s="218"/>
      <c r="F433" s="35"/>
      <c r="G433" s="51"/>
    </row>
    <row r="434" spans="1:7" ht="14.25" customHeight="1">
      <c r="A434" s="315"/>
      <c r="B434" s="183"/>
      <c r="C434" s="218"/>
      <c r="D434" s="183"/>
      <c r="E434" s="218"/>
      <c r="F434" s="35"/>
      <c r="G434" s="686"/>
    </row>
    <row r="435" spans="1:7">
      <c r="A435" s="315"/>
      <c r="B435" s="183"/>
      <c r="C435" s="218"/>
      <c r="D435" s="183"/>
      <c r="E435" s="218"/>
      <c r="F435" s="35"/>
      <c r="G435" s="686"/>
    </row>
    <row r="436" spans="1:7" ht="12.75" customHeight="1">
      <c r="A436" s="1331" t="s">
        <v>381</v>
      </c>
      <c r="B436" s="1332"/>
      <c r="C436" s="1332"/>
      <c r="D436" s="183"/>
      <c r="E436" s="218"/>
      <c r="F436" s="35"/>
      <c r="G436" s="686"/>
    </row>
    <row r="437" spans="1:7" ht="29.25" customHeight="1">
      <c r="A437" s="1331"/>
      <c r="B437" s="1332"/>
      <c r="C437" s="1332"/>
      <c r="D437" s="183"/>
      <c r="E437" s="218"/>
      <c r="F437" s="35"/>
      <c r="G437" s="327"/>
    </row>
    <row r="438" spans="1:7" ht="14.25" customHeight="1">
      <c r="A438" s="685"/>
      <c r="B438" s="677"/>
      <c r="C438" s="677"/>
      <c r="D438" s="183"/>
      <c r="E438" s="218"/>
      <c r="F438" s="35"/>
      <c r="G438" s="327"/>
    </row>
    <row r="439" spans="1:7" ht="14.25" hidden="1" customHeight="1">
      <c r="A439" s="696" t="s">
        <v>434</v>
      </c>
      <c r="B439" s="697"/>
      <c r="C439" s="697"/>
      <c r="D439" s="689"/>
      <c r="E439" s="691"/>
      <c r="F439" s="692"/>
      <c r="G439" s="698"/>
    </row>
    <row r="440" spans="1:7" ht="14.25" customHeight="1">
      <c r="A440" s="557"/>
      <c r="B440" s="677"/>
      <c r="C440" s="677"/>
      <c r="D440" s="183"/>
      <c r="E440" s="218"/>
      <c r="F440" s="35"/>
      <c r="G440" s="327"/>
    </row>
    <row r="441" spans="1:7" ht="14.25" customHeight="1">
      <c r="A441" s="557"/>
      <c r="B441" s="677"/>
      <c r="C441" s="677"/>
      <c r="D441" s="183"/>
      <c r="E441" s="218"/>
      <c r="F441" s="35"/>
      <c r="G441" s="327"/>
    </row>
    <row r="442" spans="1:7" ht="14.25" customHeight="1">
      <c r="A442" s="412"/>
      <c r="B442" s="304"/>
      <c r="C442" s="304"/>
      <c r="D442" s="310"/>
      <c r="E442" s="311"/>
      <c r="F442" s="67"/>
      <c r="G442" s="406"/>
    </row>
    <row r="443" spans="1:7" ht="14.25" customHeight="1">
      <c r="A443" s="190"/>
      <c r="C443" s="33"/>
      <c r="G443" s="67"/>
    </row>
    <row r="444" spans="1:7" ht="20.25" customHeight="1">
      <c r="A444" s="460" t="s">
        <v>497</v>
      </c>
      <c r="B444" s="306"/>
      <c r="C444" s="359"/>
      <c r="D444" s="306"/>
      <c r="E444" s="359"/>
      <c r="F444" s="66"/>
      <c r="G444" s="553"/>
    </row>
    <row r="445" spans="1:7">
      <c r="A445" s="307"/>
      <c r="B445" s="183"/>
      <c r="C445" s="361"/>
      <c r="D445" s="183"/>
      <c r="E445" s="218"/>
      <c r="F445" s="35"/>
      <c r="G445" s="327"/>
    </row>
    <row r="446" spans="1:7" ht="15.75">
      <c r="A446" s="414" t="s">
        <v>49</v>
      </c>
      <c r="B446" s="183"/>
      <c r="C446" s="218"/>
      <c r="D446" s="219"/>
      <c r="E446" s="220"/>
      <c r="F446" s="220"/>
      <c r="G446" s="327"/>
    </row>
    <row r="447" spans="1:7">
      <c r="A447" s="554" t="s">
        <v>56</v>
      </c>
      <c r="B447" s="183"/>
      <c r="C447" s="218"/>
      <c r="D447" s="219" t="s">
        <v>504</v>
      </c>
      <c r="E447" s="220" t="s">
        <v>505</v>
      </c>
      <c r="F447" s="220" t="s">
        <v>506</v>
      </c>
      <c r="G447" s="51"/>
    </row>
    <row r="448" spans="1:7">
      <c r="A448" s="554"/>
      <c r="B448" s="183"/>
      <c r="C448" s="218"/>
      <c r="D448" s="219"/>
      <c r="E448" s="220"/>
      <c r="F448" s="99"/>
      <c r="G448" s="51"/>
    </row>
    <row r="449" spans="1:7">
      <c r="A449" s="555" t="s">
        <v>50</v>
      </c>
      <c r="B449" s="183"/>
      <c r="C449" s="218"/>
      <c r="D449" s="556" t="s">
        <v>672</v>
      </c>
      <c r="E449" s="556" t="s">
        <v>672</v>
      </c>
      <c r="F449" s="556" t="s">
        <v>672</v>
      </c>
      <c r="G449" s="51"/>
    </row>
    <row r="450" spans="1:7">
      <c r="A450" s="557" t="s">
        <v>51</v>
      </c>
      <c r="B450" s="558"/>
      <c r="C450" s="218"/>
      <c r="D450" s="225">
        <f>'[6]Trust Waterfalls'!$B$18</f>
        <v>16937098.75</v>
      </c>
      <c r="E450" s="225">
        <f>'[5]Trust Waterfalls'!$B$18</f>
        <v>15939348.210000001</v>
      </c>
      <c r="F450" s="739">
        <f>'[3]Trust Waterfalls'!$B$18</f>
        <v>15555856.58</v>
      </c>
      <c r="G450" s="51"/>
    </row>
    <row r="451" spans="1:7">
      <c r="A451" s="557" t="s">
        <v>52</v>
      </c>
      <c r="B451" s="183"/>
      <c r="C451" s="218"/>
      <c r="D451" s="225">
        <f>'[6]Trust Waterfalls'!$B$19</f>
        <v>1491054.1</v>
      </c>
      <c r="E451" s="225">
        <f>'[5]Trust Waterfalls'!$B$19</f>
        <v>1370895.09</v>
      </c>
      <c r="F451" s="739">
        <f>'[3]Trust Waterfalls'!$B$19</f>
        <v>1388720.38</v>
      </c>
      <c r="G451" s="51"/>
    </row>
    <row r="452" spans="1:7">
      <c r="A452" s="557" t="s">
        <v>128</v>
      </c>
      <c r="B452" s="183"/>
      <c r="C452" s="218"/>
      <c r="D452" s="225">
        <f>'[6]Trust Waterfalls'!$B$20</f>
        <v>0</v>
      </c>
      <c r="E452" s="225">
        <f>'[5]Trust Waterfalls'!$B$20</f>
        <v>0</v>
      </c>
      <c r="F452" s="739">
        <f>'[3]Trust Waterfalls'!$B$20</f>
        <v>0</v>
      </c>
      <c r="G452" s="51"/>
    </row>
    <row r="453" spans="1:7">
      <c r="A453" s="557" t="s">
        <v>129</v>
      </c>
      <c r="B453" s="183"/>
      <c r="C453" s="218"/>
      <c r="D453" s="225">
        <f>'[6]Trust Waterfalls'!$B$21</f>
        <v>60797.13</v>
      </c>
      <c r="E453" s="225">
        <f>'[5]Trust Waterfalls'!$B$21</f>
        <v>58886.31</v>
      </c>
      <c r="F453" s="739">
        <f>'[3]Trust Waterfalls'!$B$21</f>
        <v>65436.6</v>
      </c>
      <c r="G453" s="51"/>
    </row>
    <row r="454" spans="1:7">
      <c r="A454" s="557" t="s">
        <v>130</v>
      </c>
      <c r="B454" s="183"/>
      <c r="C454" s="218"/>
      <c r="D454" s="225">
        <f>'[6]Trust Waterfalls'!$B$25</f>
        <v>0</v>
      </c>
      <c r="E454" s="225">
        <f>'[5]Trust Waterfalls'!$B$25</f>
        <v>0</v>
      </c>
      <c r="F454" s="739">
        <f>'[3]Trust Waterfalls'!$B$25</f>
        <v>0</v>
      </c>
      <c r="G454" s="51"/>
    </row>
    <row r="455" spans="1:7" ht="15.75" customHeight="1" thickBot="1">
      <c r="A455" s="307"/>
      <c r="B455" s="1335" t="s">
        <v>50</v>
      </c>
      <c r="C455" s="1335"/>
      <c r="D455" s="89">
        <f>+SUM(D450:D453)-D454</f>
        <v>18488949.98</v>
      </c>
      <c r="E455" s="89">
        <f>+SUM(E450:E453)-E454</f>
        <v>17369129.609999999</v>
      </c>
      <c r="F455" s="740">
        <f>+SUM(F450:F453)-F454</f>
        <v>17010013.560000002</v>
      </c>
      <c r="G455" s="51"/>
    </row>
    <row r="456" spans="1:7" ht="13.5" thickTop="1">
      <c r="A456" s="560"/>
      <c r="B456" s="183"/>
      <c r="C456" s="218"/>
      <c r="D456" s="183"/>
      <c r="E456" s="183"/>
      <c r="F456" s="741"/>
      <c r="G456" s="51"/>
    </row>
    <row r="457" spans="1:7">
      <c r="A457" s="555" t="s">
        <v>131</v>
      </c>
      <c r="B457" s="561"/>
      <c r="C457" s="218"/>
      <c r="D457" s="556" t="s">
        <v>672</v>
      </c>
      <c r="E457" s="556" t="s">
        <v>672</v>
      </c>
      <c r="F457" s="742" t="s">
        <v>672</v>
      </c>
      <c r="G457" s="51"/>
    </row>
    <row r="458" spans="1:7">
      <c r="A458" s="557" t="s">
        <v>132</v>
      </c>
      <c r="B458" s="561"/>
      <c r="C458" s="218"/>
      <c r="D458" s="559">
        <f>'[6]Trust Waterfalls'!$B$29</f>
        <v>0</v>
      </c>
      <c r="E458" s="562">
        <f>'[5]Trust Waterfalls'!$B$29</f>
        <v>0</v>
      </c>
      <c r="F458" s="739">
        <f>'[3]Trust Waterfalls'!$B$29</f>
        <v>0</v>
      </c>
      <c r="G458" s="51"/>
    </row>
    <row r="459" spans="1:7">
      <c r="A459" s="557" t="s">
        <v>133</v>
      </c>
      <c r="B459" s="561"/>
      <c r="C459" s="218"/>
      <c r="D459" s="183">
        <f>'[6]Trust Waterfalls'!$B$44</f>
        <v>340699.10000000003</v>
      </c>
      <c r="E459" s="183">
        <f>'[5]Trust Waterfalls'!$B$44</f>
        <v>320762.08</v>
      </c>
      <c r="F459" s="739">
        <f>'[3]Trust Waterfalls'!$B$44</f>
        <v>330318.84000000003</v>
      </c>
      <c r="G459" s="51"/>
    </row>
    <row r="460" spans="1:7">
      <c r="A460" s="557" t="s">
        <v>134</v>
      </c>
      <c r="B460" s="561"/>
      <c r="C460" s="218"/>
      <c r="D460" s="233">
        <f>'[6]Trust Waterfalls'!$B$39</f>
        <v>8793802.1099999994</v>
      </c>
      <c r="E460" s="183">
        <f>'[5]Trust Waterfalls'!$B$39</f>
        <v>8379882.9699999997</v>
      </c>
      <c r="F460" s="739">
        <f>'[3]Trust Waterfalls'!$B$39</f>
        <v>8335188.7199999997</v>
      </c>
      <c r="G460" s="51"/>
    </row>
    <row r="461" spans="1:7">
      <c r="A461" s="557" t="s">
        <v>135</v>
      </c>
      <c r="B461" s="183"/>
      <c r="C461" s="218"/>
      <c r="D461" s="563">
        <f>'[6]Trust Waterfalls'!$B$40</f>
        <v>9354448.7699999996</v>
      </c>
      <c r="E461" s="564">
        <f>'[5]Trust Waterfalls'!$B$40</f>
        <v>8668484.5600000005</v>
      </c>
      <c r="F461" s="739">
        <f>'[3]Trust Waterfalls'!$B$40</f>
        <v>8344506</v>
      </c>
      <c r="G461" s="51"/>
    </row>
    <row r="462" spans="1:7">
      <c r="A462" s="557" t="s">
        <v>927</v>
      </c>
      <c r="B462" s="183"/>
      <c r="C462" s="218"/>
      <c r="D462" s="183">
        <f>'[6]Trust Waterfalls'!$B$41</f>
        <v>0</v>
      </c>
      <c r="E462" s="183">
        <f>'[5]Trust Waterfalls'!$B$41</f>
        <v>0</v>
      </c>
      <c r="F462" s="739">
        <f>'[3]Trust Waterfalls'!$B$41</f>
        <v>0</v>
      </c>
      <c r="G462" s="51"/>
    </row>
    <row r="463" spans="1:7" ht="13.5" customHeight="1">
      <c r="A463" s="307"/>
      <c r="B463" s="183"/>
      <c r="C463" s="218"/>
      <c r="D463" s="183"/>
      <c r="E463" s="218"/>
      <c r="F463" s="35"/>
      <c r="G463" s="51"/>
    </row>
    <row r="464" spans="1:7" ht="13.5" customHeight="1">
      <c r="A464" s="565"/>
      <c r="B464" s="183"/>
      <c r="C464" s="218"/>
      <c r="D464" s="183"/>
      <c r="E464" s="566"/>
      <c r="F464" s="35"/>
      <c r="G464" s="51"/>
    </row>
    <row r="465" spans="1:7" ht="13.5" customHeight="1">
      <c r="A465" s="567"/>
      <c r="B465" s="183"/>
      <c r="C465" s="218"/>
      <c r="D465" s="183"/>
      <c r="E465" s="218"/>
      <c r="F465" s="35"/>
      <c r="G465" s="51"/>
    </row>
    <row r="466" spans="1:7" ht="13.5" customHeight="1">
      <c r="A466" s="414" t="s">
        <v>605</v>
      </c>
      <c r="B466" s="183"/>
      <c r="C466" s="218"/>
      <c r="D466" s="183"/>
      <c r="E466" s="218"/>
      <c r="F466" s="35"/>
      <c r="G466" s="51"/>
    </row>
    <row r="467" spans="1:7" ht="13.5" customHeight="1">
      <c r="A467" s="567"/>
      <c r="B467" s="183"/>
      <c r="C467" s="218"/>
      <c r="D467" s="183"/>
      <c r="E467" s="218"/>
      <c r="F467" s="35"/>
      <c r="G467" s="51"/>
    </row>
    <row r="468" spans="1:7">
      <c r="A468" s="554" t="s">
        <v>382</v>
      </c>
      <c r="B468" s="183"/>
      <c r="C468" s="225" t="s">
        <v>507</v>
      </c>
      <c r="D468" s="183"/>
      <c r="E468" s="218"/>
      <c r="F468" s="35"/>
      <c r="G468" s="51"/>
    </row>
    <row r="469" spans="1:7">
      <c r="A469" s="307"/>
      <c r="B469" s="183"/>
      <c r="C469" s="218"/>
      <c r="D469" s="183"/>
      <c r="E469" s="218"/>
      <c r="F469" s="35"/>
      <c r="G469" s="51"/>
    </row>
    <row r="470" spans="1:7">
      <c r="A470" s="555" t="s">
        <v>839</v>
      </c>
      <c r="B470" s="183"/>
      <c r="C470" s="556" t="s">
        <v>672</v>
      </c>
      <c r="D470" s="183"/>
      <c r="E470" s="218"/>
      <c r="F470" s="35"/>
      <c r="G470" s="51"/>
    </row>
    <row r="471" spans="1:7">
      <c r="A471" s="557" t="s">
        <v>392</v>
      </c>
      <c r="B471" s="183"/>
      <c r="C471" s="49" t="e">
        <f>+#REF!</f>
        <v>#REF!</v>
      </c>
      <c r="D471" s="183"/>
      <c r="E471" s="218"/>
      <c r="F471" s="35"/>
      <c r="G471" s="51"/>
    </row>
    <row r="472" spans="1:7">
      <c r="A472" s="557" t="s">
        <v>606</v>
      </c>
      <c r="B472" s="183"/>
      <c r="C472" s="49" t="e">
        <f>+#REF!</f>
        <v>#REF!</v>
      </c>
      <c r="D472" s="183"/>
      <c r="E472" s="218"/>
      <c r="F472" s="35"/>
      <c r="G472" s="51"/>
    </row>
    <row r="473" spans="1:7">
      <c r="A473" s="557" t="s">
        <v>640</v>
      </c>
      <c r="B473" s="183"/>
      <c r="C473" s="49" t="e">
        <f>+#REF!</f>
        <v>#REF!</v>
      </c>
      <c r="D473" s="183"/>
      <c r="E473" s="218"/>
      <c r="F473" s="35"/>
      <c r="G473" s="51"/>
    </row>
    <row r="474" spans="1:7">
      <c r="A474" s="557" t="s">
        <v>892</v>
      </c>
      <c r="B474" s="183"/>
      <c r="C474" s="49" t="e">
        <f>+#REF!</f>
        <v>#REF!</v>
      </c>
      <c r="D474" s="183"/>
      <c r="E474" s="218"/>
      <c r="F474" s="35"/>
      <c r="G474" s="51"/>
    </row>
    <row r="475" spans="1:7">
      <c r="A475" s="557" t="s">
        <v>893</v>
      </c>
      <c r="B475" s="183"/>
      <c r="C475" s="49" t="e">
        <f>+#REF!</f>
        <v>#REF!</v>
      </c>
      <c r="D475" s="183"/>
      <c r="E475" s="218"/>
      <c r="F475" s="101"/>
      <c r="G475" s="51"/>
    </row>
    <row r="476" spans="1:7">
      <c r="A476" s="557" t="s">
        <v>894</v>
      </c>
      <c r="B476" s="183"/>
      <c r="C476" s="49" t="e">
        <f>+#REF!</f>
        <v>#REF!</v>
      </c>
      <c r="D476" s="183"/>
      <c r="E476" s="218"/>
      <c r="F476" s="35"/>
      <c r="G476" s="51"/>
    </row>
    <row r="477" spans="1:7" ht="13.5" thickBot="1">
      <c r="A477" s="307"/>
      <c r="B477" s="552" t="s">
        <v>839</v>
      </c>
      <c r="C477" s="41" t="e">
        <f>+#REF!</f>
        <v>#REF!</v>
      </c>
      <c r="D477" s="183"/>
      <c r="E477" s="218"/>
      <c r="F477" s="35"/>
      <c r="G477" s="51"/>
    </row>
    <row r="478" spans="1:7" ht="13.5" thickTop="1">
      <c r="A478" s="307"/>
      <c r="B478" s="552"/>
      <c r="C478" s="568"/>
      <c r="D478" s="183"/>
      <c r="E478" s="218"/>
      <c r="F478" s="35"/>
      <c r="G478" s="51"/>
    </row>
    <row r="479" spans="1:7">
      <c r="A479" s="555" t="s">
        <v>776</v>
      </c>
      <c r="B479" s="183"/>
      <c r="C479" s="556" t="s">
        <v>672</v>
      </c>
      <c r="D479" s="183"/>
      <c r="E479" s="218"/>
      <c r="F479" s="35"/>
      <c r="G479" s="51"/>
    </row>
    <row r="480" spans="1:7">
      <c r="A480" s="557" t="s">
        <v>895</v>
      </c>
      <c r="B480" s="183"/>
      <c r="C480" s="49" t="e">
        <f>+#REF!</f>
        <v>#REF!</v>
      </c>
      <c r="D480" s="183"/>
      <c r="E480" s="218"/>
      <c r="F480" s="35"/>
      <c r="G480" s="51"/>
    </row>
    <row r="481" spans="1:7">
      <c r="A481" s="557" t="s">
        <v>896</v>
      </c>
      <c r="B481" s="183"/>
      <c r="C481" s="49" t="e">
        <f>+#REF!+#REF!</f>
        <v>#REF!</v>
      </c>
      <c r="D481" s="183"/>
      <c r="E481" s="218"/>
      <c r="F481" s="101"/>
      <c r="G481" s="51"/>
    </row>
    <row r="482" spans="1:7">
      <c r="A482" s="557" t="s">
        <v>941</v>
      </c>
      <c r="B482" s="183"/>
      <c r="C482" s="49" t="e">
        <f>+SUM(#REF!)</f>
        <v>#REF!</v>
      </c>
      <c r="D482" s="183"/>
      <c r="E482" s="218"/>
      <c r="F482" s="101"/>
      <c r="G482" s="51"/>
    </row>
    <row r="483" spans="1:7">
      <c r="A483" s="557" t="s">
        <v>897</v>
      </c>
      <c r="B483" s="183"/>
      <c r="C483" s="49">
        <v>0</v>
      </c>
      <c r="D483" s="183"/>
      <c r="E483" s="218"/>
      <c r="F483" s="101"/>
      <c r="G483" s="51"/>
    </row>
    <row r="484" spans="1:7">
      <c r="A484" s="557" t="s">
        <v>734</v>
      </c>
      <c r="B484" s="183"/>
      <c r="C484" s="49" t="e">
        <f>+SUM(#REF!)</f>
        <v>#REF!</v>
      </c>
      <c r="D484" s="183"/>
      <c r="E484" s="218"/>
      <c r="F484" s="101"/>
      <c r="G484" s="51"/>
    </row>
    <row r="485" spans="1:7">
      <c r="A485" s="557" t="s">
        <v>898</v>
      </c>
      <c r="B485" s="183"/>
      <c r="C485" s="49" t="e">
        <f>+#REF!</f>
        <v>#REF!</v>
      </c>
      <c r="D485" s="183"/>
      <c r="E485" s="218"/>
      <c r="F485" s="101"/>
      <c r="G485" s="51"/>
    </row>
    <row r="486" spans="1:7">
      <c r="A486" s="557" t="s">
        <v>899</v>
      </c>
      <c r="B486" s="183"/>
      <c r="C486" s="49" t="e">
        <f>+#REF!</f>
        <v>#REF!</v>
      </c>
      <c r="D486" s="183"/>
      <c r="E486" s="218"/>
      <c r="F486" s="35"/>
      <c r="G486" s="51"/>
    </row>
    <row r="487" spans="1:7">
      <c r="A487" s="557" t="s">
        <v>735</v>
      </c>
      <c r="B487" s="183"/>
      <c r="C487" s="49" t="e">
        <f>+SUM(#REF!)</f>
        <v>#REF!</v>
      </c>
      <c r="D487" s="183"/>
      <c r="E487" s="218"/>
      <c r="F487" s="35"/>
      <c r="G487" s="51"/>
    </row>
    <row r="488" spans="1:7">
      <c r="A488" s="557" t="s">
        <v>900</v>
      </c>
      <c r="B488" s="183"/>
      <c r="C488" s="49" t="e">
        <f>+ROUND(#REF!,2)</f>
        <v>#REF!</v>
      </c>
      <c r="D488" s="183"/>
      <c r="E488" s="218"/>
      <c r="F488" s="35"/>
      <c r="G488" s="51"/>
    </row>
    <row r="489" spans="1:7">
      <c r="A489" s="557" t="s">
        <v>736</v>
      </c>
      <c r="B489" s="183"/>
      <c r="C489" s="49" t="e">
        <f>+SUM(#REF!)</f>
        <v>#REF!</v>
      </c>
      <c r="D489" s="183"/>
      <c r="E489" s="218"/>
      <c r="F489" s="35"/>
      <c r="G489" s="51"/>
    </row>
    <row r="490" spans="1:7">
      <c r="A490" s="557" t="s">
        <v>901</v>
      </c>
      <c r="B490" s="183"/>
      <c r="C490" s="49" t="e">
        <f>+#REF!</f>
        <v>#REF!</v>
      </c>
      <c r="D490" s="183"/>
      <c r="E490" s="218"/>
      <c r="F490" s="35"/>
      <c r="G490" s="51"/>
    </row>
    <row r="491" spans="1:7">
      <c r="A491" s="557" t="s">
        <v>437</v>
      </c>
      <c r="B491" s="183"/>
      <c r="C491" s="49" t="e">
        <f>+#REF!</f>
        <v>#REF!</v>
      </c>
      <c r="D491" s="183"/>
      <c r="E491" s="218"/>
      <c r="F491" s="35"/>
      <c r="G491" s="51"/>
    </row>
    <row r="492" spans="1:7">
      <c r="A492" s="557" t="s">
        <v>1049</v>
      </c>
      <c r="B492" s="183"/>
      <c r="C492" s="49" t="e">
        <f>#REF!</f>
        <v>#REF!</v>
      </c>
      <c r="D492" s="183"/>
      <c r="E492" s="218"/>
      <c r="F492" s="35"/>
      <c r="G492" s="51"/>
    </row>
    <row r="493" spans="1:7">
      <c r="A493" s="557" t="s">
        <v>384</v>
      </c>
      <c r="B493" s="183"/>
      <c r="C493" s="176" t="e">
        <f>+SUM(#REF!)-#REF!</f>
        <v>#REF!</v>
      </c>
      <c r="D493" s="183"/>
      <c r="E493" s="218"/>
      <c r="F493" s="35"/>
      <c r="G493" s="51"/>
    </row>
    <row r="494" spans="1:7">
      <c r="A494" s="557"/>
      <c r="B494" s="183"/>
      <c r="C494" s="218"/>
      <c r="D494" s="183"/>
      <c r="E494" s="218"/>
      <c r="F494" s="35"/>
      <c r="G494" s="327"/>
    </row>
    <row r="495" spans="1:7">
      <c r="A495" s="555"/>
      <c r="B495" s="183"/>
      <c r="C495" s="218"/>
      <c r="D495" s="183"/>
      <c r="E495" s="218"/>
      <c r="F495" s="35"/>
      <c r="G495" s="327"/>
    </row>
    <row r="496" spans="1:7">
      <c r="A496" s="569" t="s">
        <v>777</v>
      </c>
      <c r="B496" s="570" t="e">
        <f>+#REF!</f>
        <v>#REF!</v>
      </c>
      <c r="C496" s="35"/>
      <c r="D496" s="183"/>
      <c r="E496" s="218"/>
      <c r="F496" s="35"/>
      <c r="G496" s="51"/>
    </row>
    <row r="497" spans="1:10">
      <c r="A497" s="569"/>
      <c r="B497" s="183"/>
      <c r="C497" s="49"/>
      <c r="D497" s="183"/>
      <c r="E497" s="218"/>
      <c r="F497" s="35"/>
      <c r="G497" s="51"/>
    </row>
    <row r="498" spans="1:10">
      <c r="A498" s="315"/>
      <c r="B498" s="183"/>
      <c r="C498" s="218"/>
      <c r="D498" s="183"/>
      <c r="E498" s="218"/>
      <c r="F498" s="35"/>
      <c r="G498" s="51"/>
    </row>
    <row r="499" spans="1:10" ht="15.75">
      <c r="A499" s="414" t="s">
        <v>391</v>
      </c>
      <c r="B499" s="183"/>
      <c r="C499" s="556" t="s">
        <v>672</v>
      </c>
      <c r="D499" s="183"/>
      <c r="E499" s="218"/>
      <c r="F499" s="35"/>
      <c r="G499" s="51"/>
    </row>
    <row r="500" spans="1:10">
      <c r="A500" s="567"/>
      <c r="B500" s="183"/>
      <c r="C500" s="218"/>
      <c r="D500" s="183"/>
      <c r="E500" s="218"/>
      <c r="F500" s="35"/>
      <c r="G500" s="51"/>
    </row>
    <row r="501" spans="1:10">
      <c r="A501" s="554" t="s">
        <v>383</v>
      </c>
      <c r="B501" s="183"/>
      <c r="C501" s="225" t="str">
        <f>C468</f>
        <v>20/May/2011-22/Aug/2011</v>
      </c>
      <c r="D501" s="183"/>
      <c r="E501" s="218"/>
      <c r="F501" s="35"/>
      <c r="G501" s="51"/>
    </row>
    <row r="502" spans="1:10">
      <c r="A502" s="307"/>
      <c r="B502" s="183"/>
      <c r="C502" s="218"/>
      <c r="D502" s="183"/>
      <c r="E502" s="218"/>
      <c r="F502" s="35"/>
      <c r="G502" s="51"/>
    </row>
    <row r="503" spans="1:10">
      <c r="A503" s="360" t="s">
        <v>972</v>
      </c>
      <c r="B503" s="183"/>
      <c r="C503" s="218"/>
      <c r="D503" s="183"/>
      <c r="E503" s="218"/>
      <c r="F503" s="35"/>
      <c r="G503" s="51"/>
    </row>
    <row r="504" spans="1:10">
      <c r="A504" s="307" t="s">
        <v>902</v>
      </c>
      <c r="B504" s="183"/>
      <c r="C504" s="49" t="e">
        <f>+#REF!</f>
        <v>#REF!</v>
      </c>
      <c r="D504" s="183"/>
      <c r="E504" s="218"/>
      <c r="F504" s="101"/>
      <c r="G504" s="51"/>
    </row>
    <row r="505" spans="1:10">
      <c r="A505" s="307" t="s">
        <v>903</v>
      </c>
      <c r="B505" s="183"/>
      <c r="C505" s="49" t="e">
        <f>+#REF!</f>
        <v>#REF!</v>
      </c>
      <c r="D505" s="183"/>
      <c r="E505" s="218"/>
      <c r="F505" s="101"/>
      <c r="G505" s="51"/>
      <c r="H505" s="571"/>
      <c r="I505" s="571"/>
      <c r="J505" s="571"/>
    </row>
    <row r="506" spans="1:10">
      <c r="A506" s="315"/>
      <c r="B506" s="183"/>
      <c r="C506" s="218"/>
      <c r="D506" s="183"/>
      <c r="E506" s="218"/>
      <c r="F506" s="101"/>
      <c r="G506" s="51"/>
      <c r="H506" s="188"/>
      <c r="I506" s="86"/>
      <c r="J506" s="87"/>
    </row>
    <row r="507" spans="1:10">
      <c r="A507" s="360" t="s">
        <v>397</v>
      </c>
      <c r="B507" s="183"/>
      <c r="C507" s="556" t="s">
        <v>672</v>
      </c>
      <c r="D507" s="183"/>
      <c r="E507" s="218"/>
      <c r="F507" s="35"/>
      <c r="G507" s="51"/>
      <c r="H507" s="87"/>
      <c r="I507" s="86"/>
      <c r="J507" s="87"/>
    </row>
    <row r="508" spans="1:10">
      <c r="A508" s="307" t="s">
        <v>895</v>
      </c>
      <c r="B508" s="183"/>
      <c r="C508" s="49" t="e">
        <f>+#REF!</f>
        <v>#REF!</v>
      </c>
      <c r="D508" s="183"/>
      <c r="E508" s="218"/>
      <c r="F508" s="101"/>
      <c r="G508" s="572">
        <v>4</v>
      </c>
      <c r="H508" s="573"/>
      <c r="I508" s="574"/>
      <c r="J508" s="575"/>
    </row>
    <row r="509" spans="1:10">
      <c r="A509" s="307" t="s">
        <v>904</v>
      </c>
      <c r="B509" s="183"/>
      <c r="C509" s="49" t="e">
        <f>+SUM(#REF!)</f>
        <v>#REF!</v>
      </c>
      <c r="D509" s="183"/>
      <c r="E509" s="218"/>
      <c r="F509" s="101"/>
      <c r="G509" s="51"/>
      <c r="H509" s="573"/>
      <c r="I509" s="574"/>
      <c r="J509" s="575"/>
    </row>
    <row r="510" spans="1:10">
      <c r="A510" s="307" t="s">
        <v>905</v>
      </c>
      <c r="B510" s="183"/>
      <c r="C510" s="49" t="e">
        <f>+SUM(#REF!)</f>
        <v>#REF!</v>
      </c>
      <c r="D510" s="183"/>
      <c r="E510" s="218"/>
      <c r="F510" s="101"/>
      <c r="G510" s="51"/>
      <c r="H510" s="573"/>
      <c r="I510" s="574"/>
      <c r="J510" s="575"/>
    </row>
    <row r="511" spans="1:10">
      <c r="A511" s="307" t="s">
        <v>404</v>
      </c>
      <c r="B511" s="183"/>
      <c r="C511" s="49" t="e">
        <f>+SUM(#REF!)</f>
        <v>#REF!</v>
      </c>
      <c r="D511" s="183"/>
      <c r="E511" s="218"/>
      <c r="F511" s="101"/>
      <c r="G511" s="51"/>
      <c r="H511" s="576"/>
      <c r="J511" s="576"/>
    </row>
    <row r="512" spans="1:10">
      <c r="A512" s="307" t="s">
        <v>405</v>
      </c>
      <c r="B512" s="183"/>
      <c r="C512" s="49" t="e">
        <f>+SUM(#REF!)</f>
        <v>#REF!</v>
      </c>
      <c r="D512" s="183"/>
      <c r="E512" s="218"/>
      <c r="F512" s="35"/>
      <c r="G512" s="51"/>
      <c r="H512" s="576"/>
      <c r="J512" s="576"/>
    </row>
    <row r="513" spans="1:12">
      <c r="A513" s="307" t="s">
        <v>384</v>
      </c>
      <c r="B513" s="183"/>
      <c r="C513" s="49" t="e">
        <f>+SUM(#REF!)</f>
        <v>#REF!</v>
      </c>
      <c r="D513" s="183"/>
      <c r="E513" s="218"/>
      <c r="F513" s="35"/>
      <c r="G513" s="51"/>
      <c r="H513" s="577"/>
      <c r="I513" s="577"/>
      <c r="J513" s="577"/>
    </row>
    <row r="514" spans="1:12">
      <c r="A514" s="307"/>
      <c r="B514" s="183"/>
      <c r="C514" s="49"/>
      <c r="D514" s="183"/>
      <c r="E514" s="218"/>
      <c r="F514" s="35"/>
      <c r="G514" s="51"/>
      <c r="H514" s="577"/>
      <c r="I514" s="577"/>
      <c r="J514" s="577"/>
    </row>
    <row r="515" spans="1:12">
      <c r="A515" s="569" t="s">
        <v>973</v>
      </c>
      <c r="B515" s="570" t="e">
        <f>+#REF!</f>
        <v>#REF!</v>
      </c>
      <c r="C515" s="35"/>
      <c r="D515" s="183"/>
      <c r="E515" s="218"/>
      <c r="F515" s="35"/>
      <c r="G515" s="51"/>
      <c r="H515" s="577"/>
      <c r="I515" s="577"/>
      <c r="J515" s="577"/>
    </row>
    <row r="516" spans="1:12" ht="42.75" customHeight="1">
      <c r="A516" s="1333" t="s">
        <v>99</v>
      </c>
      <c r="B516" s="1334"/>
      <c r="C516" s="1334"/>
      <c r="D516" s="1334"/>
      <c r="E516" s="1334"/>
      <c r="F516" s="1334"/>
      <c r="G516" s="53"/>
      <c r="H516" s="577"/>
      <c r="I516" s="577"/>
      <c r="J516" s="577"/>
    </row>
    <row r="517" spans="1:12">
      <c r="A517" s="242"/>
      <c r="D517" s="244">
        <v>1</v>
      </c>
      <c r="E517" s="244">
        <v>2</v>
      </c>
      <c r="F517" s="244">
        <v>3</v>
      </c>
      <c r="G517" s="410"/>
      <c r="H517" s="578"/>
      <c r="I517" s="578"/>
      <c r="J517" s="578"/>
      <c r="K517" s="35"/>
    </row>
    <row r="518" spans="1:12">
      <c r="A518" s="242"/>
      <c r="D518" s="244"/>
      <c r="E518" s="244"/>
      <c r="F518" s="244"/>
      <c r="G518" s="578"/>
      <c r="H518" s="578"/>
      <c r="I518" s="578"/>
      <c r="J518" s="578"/>
      <c r="K518" s="35"/>
    </row>
    <row r="519" spans="1:12" ht="18.75">
      <c r="A519" s="409" t="s">
        <v>378</v>
      </c>
      <c r="D519" s="244"/>
      <c r="E519" s="244"/>
      <c r="F519" s="244"/>
      <c r="G519" s="308"/>
      <c r="H519" s="323"/>
      <c r="I519" s="308"/>
      <c r="J519" s="216"/>
      <c r="K519" s="35"/>
    </row>
    <row r="520" spans="1:12">
      <c r="A520" s="242"/>
      <c r="D520" s="244"/>
      <c r="E520" s="244"/>
      <c r="F520" s="244"/>
      <c r="G520" s="308"/>
      <c r="H520" s="216"/>
      <c r="I520" s="308"/>
      <c r="J520" s="216"/>
      <c r="K520" s="35"/>
    </row>
    <row r="521" spans="1:12" ht="15.75">
      <c r="A521" s="415" t="s">
        <v>407</v>
      </c>
      <c r="B521" s="306"/>
      <c r="C521" s="359"/>
      <c r="D521" s="587" t="s">
        <v>11</v>
      </c>
      <c r="E521" s="588" t="s">
        <v>12</v>
      </c>
      <c r="F521" s="410" t="s">
        <v>459</v>
      </c>
      <c r="G521" s="410" t="s">
        <v>13</v>
      </c>
      <c r="H521" s="410" t="s">
        <v>14</v>
      </c>
      <c r="I521" s="410" t="s">
        <v>15</v>
      </c>
      <c r="J521" s="410" t="s">
        <v>10</v>
      </c>
      <c r="K521" s="66"/>
      <c r="L521" s="52"/>
    </row>
    <row r="522" spans="1:12">
      <c r="A522" s="589"/>
      <c r="B522" s="183"/>
      <c r="C522" s="218"/>
      <c r="D522" s="590"/>
      <c r="E522" s="591"/>
      <c r="F522" s="578"/>
      <c r="G522" s="578"/>
      <c r="H522" s="578"/>
      <c r="I522" s="578"/>
      <c r="J522" s="578"/>
      <c r="K522" s="35"/>
      <c r="L522" s="51"/>
    </row>
    <row r="523" spans="1:12">
      <c r="A523" s="592" t="s">
        <v>408</v>
      </c>
      <c r="B523" s="183"/>
      <c r="C523" s="218"/>
      <c r="D523" s="308" t="s">
        <v>409</v>
      </c>
      <c r="E523" s="323" t="s">
        <v>410</v>
      </c>
      <c r="F523" s="216" t="s">
        <v>411</v>
      </c>
      <c r="G523" s="308" t="s">
        <v>412</v>
      </c>
      <c r="H523" s="323" t="s">
        <v>413</v>
      </c>
      <c r="I523" s="308" t="s">
        <v>414</v>
      </c>
      <c r="J523" s="216" t="s">
        <v>415</v>
      </c>
      <c r="K523" s="35"/>
      <c r="L523" s="51"/>
    </row>
    <row r="524" spans="1:12">
      <c r="A524" s="592" t="s">
        <v>416</v>
      </c>
      <c r="B524" s="183"/>
      <c r="C524" s="218"/>
      <c r="D524" s="308" t="s">
        <v>910</v>
      </c>
      <c r="E524" s="323" t="s">
        <v>911</v>
      </c>
      <c r="F524" s="216">
        <v>27376355</v>
      </c>
      <c r="G524" s="308" t="s">
        <v>912</v>
      </c>
      <c r="H524" s="216">
        <v>27384030</v>
      </c>
      <c r="I524" s="308" t="s">
        <v>913</v>
      </c>
      <c r="J524" s="216">
        <v>27384650</v>
      </c>
      <c r="K524" s="35"/>
      <c r="L524" s="51"/>
    </row>
    <row r="525" spans="1:12">
      <c r="A525" s="592" t="s">
        <v>675</v>
      </c>
      <c r="B525" s="183"/>
      <c r="C525" s="218"/>
      <c r="D525" s="593">
        <v>1900000000</v>
      </c>
      <c r="E525" s="594">
        <v>455000000</v>
      </c>
      <c r="F525" s="595">
        <v>610000000</v>
      </c>
      <c r="G525" s="593">
        <v>2596000000</v>
      </c>
      <c r="H525" s="594">
        <v>1699000000</v>
      </c>
      <c r="I525" s="593">
        <v>1038500000</v>
      </c>
      <c r="J525" s="595">
        <v>500000000</v>
      </c>
      <c r="K525" s="35"/>
      <c r="L525" s="51"/>
    </row>
    <row r="526" spans="1:12">
      <c r="A526" s="592" t="s">
        <v>676</v>
      </c>
      <c r="B526" s="183"/>
      <c r="C526" s="596"/>
      <c r="D526" s="593" t="e">
        <f>+VLOOKUP($B$9,#REF!,2,FALSE)</f>
        <v>#REF!</v>
      </c>
      <c r="E526" s="594" t="e">
        <f>+VLOOKUP($B$9,#REF!,3,FALSE)</f>
        <v>#REF!</v>
      </c>
      <c r="F526" s="595" t="e">
        <f>+VLOOKUP($B$9,#REF!,4,FALSE)</f>
        <v>#REF!</v>
      </c>
      <c r="G526" s="593" t="e">
        <f>+VLOOKUP($B$9,#REF!,5,FALSE)</f>
        <v>#REF!</v>
      </c>
      <c r="H526" s="594" t="e">
        <f>+VLOOKUP($B$9,#REF!,6,FALSE)</f>
        <v>#REF!</v>
      </c>
      <c r="I526" s="593" t="e">
        <f>+VLOOKUP($B$9,#REF!,7,FALSE)</f>
        <v>#REF!</v>
      </c>
      <c r="J526" s="597" t="e">
        <f>+VLOOKUP($B$9,#REF!,8,FALSE)</f>
        <v>#REF!</v>
      </c>
      <c r="K526" s="35"/>
      <c r="L526" s="51"/>
    </row>
    <row r="527" spans="1:12">
      <c r="A527" s="592" t="s">
        <v>907</v>
      </c>
      <c r="B527" s="183"/>
      <c r="C527" s="218"/>
      <c r="D527" s="593" t="e">
        <f>+VLOOKUP($D$9,#REF!,2,FALSE)</f>
        <v>#REF!</v>
      </c>
      <c r="E527" s="598" t="e">
        <f>+VLOOKUP($D$9,#REF!,3,FALSE)</f>
        <v>#REF!</v>
      </c>
      <c r="F527" s="597" t="e">
        <f>+VLOOKUP($D$9,#REF!,4,FALSE)</f>
        <v>#REF!</v>
      </c>
      <c r="G527" s="593" t="e">
        <f>+VLOOKUP($D$9,#REF!,5,FALSE)</f>
        <v>#REF!</v>
      </c>
      <c r="H527" s="594" t="e">
        <f>+VLOOKUP($D$9,#REF!,6,FALSE)</f>
        <v>#REF!</v>
      </c>
      <c r="I527" s="593" t="e">
        <f>+VLOOKUP($D$9,#REF!,7,FALSE)</f>
        <v>#REF!</v>
      </c>
      <c r="J527" s="597" t="e">
        <f>+VLOOKUP($D$9,#REF!,8,FALSE)</f>
        <v>#REF!</v>
      </c>
      <c r="K527" s="35"/>
      <c r="L527" s="51"/>
    </row>
    <row r="528" spans="1:12">
      <c r="A528" s="592" t="s">
        <v>677</v>
      </c>
      <c r="B528" s="183"/>
      <c r="C528" s="599"/>
      <c r="D528" s="593" t="e">
        <f>+VLOOKUP($D$9,#REF!,2,FALSE)</f>
        <v>#REF!</v>
      </c>
      <c r="E528" s="594" t="e">
        <f>+VLOOKUP($D$9,#REF!,3,FALSE)</f>
        <v>#REF!</v>
      </c>
      <c r="F528" s="595" t="e">
        <f>+VLOOKUP($D$9,#REF!,4,FALSE)</f>
        <v>#REF!</v>
      </c>
      <c r="G528" s="593" t="e">
        <f>+VLOOKUP($D$9,#REF!,5,FALSE)</f>
        <v>#REF!</v>
      </c>
      <c r="H528" s="594" t="e">
        <f>+VLOOKUP($D$9,#REF!,6,FALSE)</f>
        <v>#REF!</v>
      </c>
      <c r="I528" s="593" t="e">
        <f>+VLOOKUP($D$9,#REF!,7,FALSE)</f>
        <v>#REF!</v>
      </c>
      <c r="J528" s="597" t="e">
        <f>+VLOOKUP($D$9,#REF!,8,FALSE)</f>
        <v>#REF!</v>
      </c>
      <c r="K528" s="35"/>
      <c r="L528" s="51"/>
    </row>
    <row r="529" spans="1:12">
      <c r="A529" s="592" t="s">
        <v>402</v>
      </c>
      <c r="B529" s="183"/>
      <c r="C529" s="218"/>
      <c r="D529" s="600" t="e">
        <f>#REF!</f>
        <v>#REF!</v>
      </c>
      <c r="E529" s="600" t="e">
        <f>#REF!</f>
        <v>#REF!</v>
      </c>
      <c r="F529" s="600" t="e">
        <f>#REF!</f>
        <v>#REF!</v>
      </c>
      <c r="G529" s="600" t="e">
        <f>#REF!</f>
        <v>#REF!</v>
      </c>
      <c r="H529" s="600" t="e">
        <f>#REF!</f>
        <v>#REF!</v>
      </c>
      <c r="I529" s="600" t="e">
        <f>#REF!</f>
        <v>#REF!</v>
      </c>
      <c r="J529" s="600" t="e">
        <f>#REF!</f>
        <v>#REF!</v>
      </c>
      <c r="K529" s="35"/>
      <c r="L529" s="51"/>
    </row>
    <row r="530" spans="1:12">
      <c r="A530" s="592" t="s">
        <v>403</v>
      </c>
      <c r="B530" s="183"/>
      <c r="C530" s="218"/>
      <c r="D530" s="600" t="e">
        <f>#REF!</f>
        <v>#REF!</v>
      </c>
      <c r="E530" s="600" t="e">
        <f>#REF!</f>
        <v>#REF!</v>
      </c>
      <c r="F530" s="600" t="e">
        <f>#REF!</f>
        <v>#REF!</v>
      </c>
      <c r="G530" s="600" t="e">
        <f>#REF!</f>
        <v>#REF!</v>
      </c>
      <c r="H530" s="600" t="e">
        <f>#REF!</f>
        <v>#REF!</v>
      </c>
      <c r="I530" s="600" t="e">
        <f>#REF!</f>
        <v>#REF!</v>
      </c>
      <c r="J530" s="600" t="e">
        <f>#REF!</f>
        <v>#REF!</v>
      </c>
      <c r="K530" s="35"/>
      <c r="L530" s="51"/>
    </row>
    <row r="531" spans="1:12">
      <c r="A531" s="592" t="s">
        <v>678</v>
      </c>
      <c r="B531" s="183"/>
      <c r="C531" s="218"/>
      <c r="D531" s="601" t="e">
        <f>+VLOOKUP($D$9,#REF!,2,FALSE)</f>
        <v>#REF!</v>
      </c>
      <c r="E531" s="594" t="e">
        <f>+VLOOKUP($D$9,#REF!,3,FALSE)</f>
        <v>#REF!</v>
      </c>
      <c r="F531" s="602" t="e">
        <f>+VLOOKUP($D$9,#REF!,4,FALSE)</f>
        <v>#REF!</v>
      </c>
      <c r="G531" s="601" t="e">
        <f>+VLOOKUP($D$9,#REF!,5,FALSE)</f>
        <v>#REF!</v>
      </c>
      <c r="H531" s="594" t="e">
        <f>+VLOOKUP($D$9,#REF!,6,FALSE)</f>
        <v>#REF!</v>
      </c>
      <c r="I531" s="601" t="e">
        <f>+VLOOKUP($D$9,#REF!,7,FALSE)</f>
        <v>#REF!</v>
      </c>
      <c r="J531" s="602" t="e">
        <f>+VLOOKUP($D$9,#REF!,8,FALSE)</f>
        <v>#REF!</v>
      </c>
      <c r="K531" s="35"/>
      <c r="L531" s="51"/>
    </row>
    <row r="532" spans="1:12">
      <c r="A532" s="592" t="s">
        <v>679</v>
      </c>
      <c r="B532" s="183"/>
      <c r="C532" s="218"/>
      <c r="D532" s="601" t="e">
        <f>+VLOOKUP($D$9,#REF!,2,FALSE)</f>
        <v>#REF!</v>
      </c>
      <c r="E532" s="594" t="e">
        <f>+VLOOKUP($D$9,#REF!,3,FALSE)</f>
        <v>#REF!</v>
      </c>
      <c r="F532" s="602" t="e">
        <f>+VLOOKUP($D$9,#REF!,4,FALSE)</f>
        <v>#REF!</v>
      </c>
      <c r="G532" s="601" t="e">
        <f>+VLOOKUP($D$9,#REF!,5,FALSE)</f>
        <v>#REF!</v>
      </c>
      <c r="H532" s="594" t="e">
        <f>+VLOOKUP($D$9,#REF!,6,FALSE)</f>
        <v>#REF!</v>
      </c>
      <c r="I532" s="601" t="e">
        <f>+VLOOKUP($D$9,#REF!,7,FALSE)</f>
        <v>#REF!</v>
      </c>
      <c r="J532" s="602" t="e">
        <f>+VLOOKUP($D$9,#REF!,8,FALSE)</f>
        <v>#REF!</v>
      </c>
      <c r="K532" s="35"/>
      <c r="L532" s="51"/>
    </row>
    <row r="533" spans="1:12">
      <c r="A533" s="592" t="s">
        <v>680</v>
      </c>
      <c r="B533" s="183"/>
      <c r="C533" s="218"/>
      <c r="D533" s="601" t="e">
        <f>+VLOOKUP($D$9,#REF!,2,FALSE)</f>
        <v>#REF!</v>
      </c>
      <c r="E533" s="594" t="e">
        <f>+VLOOKUP($D$9,#REF!,3,FALSE)</f>
        <v>#REF!</v>
      </c>
      <c r="F533" s="602" t="e">
        <f>+VLOOKUP($D$9,#REF!,4,FALSE)</f>
        <v>#REF!</v>
      </c>
      <c r="G533" s="601" t="e">
        <f>+VLOOKUP($D$9,#REF!,5,FALSE)</f>
        <v>#REF!</v>
      </c>
      <c r="H533" s="594" t="e">
        <f>+VLOOKUP($D$9,#REF!,6,FALSE)</f>
        <v>#REF!</v>
      </c>
      <c r="I533" s="601" t="e">
        <f>+VLOOKUP($D$9,#REF!,7,FALSE)</f>
        <v>#REF!</v>
      </c>
      <c r="J533" s="602" t="e">
        <f>+VLOOKUP($D$9,#REF!,8,FALSE)</f>
        <v>#REF!</v>
      </c>
      <c r="K533" s="35"/>
      <c r="L533" s="51"/>
    </row>
    <row r="534" spans="1:12">
      <c r="A534" s="592" t="s">
        <v>119</v>
      </c>
      <c r="B534" s="183"/>
      <c r="C534" s="218"/>
      <c r="D534" s="601" t="e">
        <f>+VLOOKUP($D$9,#REF!,2,FALSE)</f>
        <v>#REF!</v>
      </c>
      <c r="E534" s="594" t="e">
        <f>+VLOOKUP($D$9,#REF!,3,FALSE)</f>
        <v>#REF!</v>
      </c>
      <c r="F534" s="602" t="e">
        <f>+VLOOKUP($D$9,#REF!,4,FALSE)</f>
        <v>#REF!</v>
      </c>
      <c r="G534" s="601" t="e">
        <f>+VLOOKUP($D$9,#REF!,5,FALSE)</f>
        <v>#REF!</v>
      </c>
      <c r="H534" s="594" t="e">
        <f>+VLOOKUP($D$9,#REF!,6,FALSE)</f>
        <v>#REF!</v>
      </c>
      <c r="I534" s="601" t="e">
        <f>+VLOOKUP($D$9,#REF!,7,FALSE)</f>
        <v>#REF!</v>
      </c>
      <c r="J534" s="602" t="e">
        <f>+VLOOKUP($D$9,#REF!,8,FALSE)</f>
        <v>#REF!</v>
      </c>
      <c r="K534" s="35"/>
      <c r="L534" s="51"/>
    </row>
    <row r="535" spans="1:12">
      <c r="A535" s="592" t="s">
        <v>757</v>
      </c>
      <c r="B535" s="183"/>
      <c r="C535" s="218"/>
      <c r="D535" s="216" t="s">
        <v>681</v>
      </c>
      <c r="E535" s="216" t="s">
        <v>681</v>
      </c>
      <c r="F535" s="216" t="s">
        <v>681</v>
      </c>
      <c r="G535" s="216" t="s">
        <v>681</v>
      </c>
      <c r="H535" s="216" t="s">
        <v>681</v>
      </c>
      <c r="I535" s="216" t="s">
        <v>681</v>
      </c>
      <c r="J535" s="216" t="s">
        <v>681</v>
      </c>
      <c r="K535" s="35"/>
      <c r="L535" s="51"/>
    </row>
    <row r="536" spans="1:12">
      <c r="A536" s="592" t="s">
        <v>682</v>
      </c>
      <c r="B536" s="183"/>
      <c r="C536" s="218"/>
      <c r="D536" s="217" t="s">
        <v>387</v>
      </c>
      <c r="E536" s="217" t="s">
        <v>684</v>
      </c>
      <c r="F536" s="217" t="s">
        <v>685</v>
      </c>
      <c r="G536" s="217" t="s">
        <v>683</v>
      </c>
      <c r="H536" s="217" t="s">
        <v>684</v>
      </c>
      <c r="I536" s="217" t="s">
        <v>683</v>
      </c>
      <c r="J536" s="217" t="s">
        <v>685</v>
      </c>
      <c r="K536" s="35"/>
      <c r="L536" s="51"/>
    </row>
    <row r="537" spans="1:12">
      <c r="A537" s="592" t="s">
        <v>686</v>
      </c>
      <c r="B537" s="183"/>
      <c r="C537" s="218"/>
      <c r="D537" s="603" t="e">
        <f>#REF!</f>
        <v>#REF!</v>
      </c>
      <c r="E537" s="603" t="e">
        <f>#REF!</f>
        <v>#REF!</v>
      </c>
      <c r="F537" s="603" t="e">
        <f>#REF!</f>
        <v>#REF!</v>
      </c>
      <c r="G537" s="603" t="e">
        <f>#REF!</f>
        <v>#REF!</v>
      </c>
      <c r="H537" s="603" t="e">
        <f>#REF!</f>
        <v>#REF!</v>
      </c>
      <c r="I537" s="603" t="e">
        <f>#REF!</f>
        <v>#REF!</v>
      </c>
      <c r="J537" s="603" t="e">
        <f>#REF!</f>
        <v>#REF!</v>
      </c>
      <c r="K537" s="35"/>
      <c r="L537" s="51"/>
    </row>
    <row r="538" spans="1:12">
      <c r="A538" s="592" t="s">
        <v>687</v>
      </c>
      <c r="B538" s="183"/>
      <c r="C538" s="218"/>
      <c r="D538" s="603" t="e">
        <f>+VLOOKUP(D521,#REF!,6,FALSE)</f>
        <v>#REF!</v>
      </c>
      <c r="E538" s="603" t="e">
        <f>+VLOOKUP(E521,#REF!,6,FALSE)</f>
        <v>#REF!</v>
      </c>
      <c r="F538" s="603" t="e">
        <f>+VLOOKUP(F521,#REF!,6,FALSE)</f>
        <v>#REF!</v>
      </c>
      <c r="G538" s="603" t="e">
        <f>+VLOOKUP(G521,#REF!,6,FALSE)</f>
        <v>#REF!</v>
      </c>
      <c r="H538" s="603" t="e">
        <f>+VLOOKUP(H521,#REF!,6,FALSE)</f>
        <v>#REF!</v>
      </c>
      <c r="I538" s="603" t="e">
        <f>+VLOOKUP(I521,#REF!,6,FALSE)</f>
        <v>#REF!</v>
      </c>
      <c r="J538" s="603" t="e">
        <f>+VLOOKUP(J521,#REF!,6,FALSE)</f>
        <v>#REF!</v>
      </c>
      <c r="K538" s="35"/>
      <c r="L538" s="51"/>
    </row>
    <row r="539" spans="1:12">
      <c r="A539" s="592" t="s">
        <v>909</v>
      </c>
      <c r="B539" s="183"/>
      <c r="C539" s="218"/>
      <c r="D539" s="593" t="e">
        <f>+VLOOKUP(D521,#REF!,3,FALSE)</f>
        <v>#REF!</v>
      </c>
      <c r="E539" s="594" t="e">
        <f>+VLOOKUP(E521,#REF!,3,FALSE)</f>
        <v>#REF!</v>
      </c>
      <c r="F539" s="595" t="e">
        <f>+VLOOKUP(F521,#REF!,3,FALSE)</f>
        <v>#REF!</v>
      </c>
      <c r="G539" s="593" t="e">
        <f>+VLOOKUP(G521,#REF!,3,FALSE)</f>
        <v>#REF!</v>
      </c>
      <c r="H539" s="594" t="e">
        <f>+VLOOKUP(H521,#REF!,3,FALSE)</f>
        <v>#REF!</v>
      </c>
      <c r="I539" s="593" t="e">
        <f>+VLOOKUP(I521,#REF!,3,FALSE)</f>
        <v>#REF!</v>
      </c>
      <c r="J539" s="595" t="e">
        <f>+VLOOKUP(J521,#REF!,3,FALSE)</f>
        <v>#REF!</v>
      </c>
      <c r="K539" s="35"/>
      <c r="L539" s="51"/>
    </row>
    <row r="540" spans="1:12">
      <c r="A540" s="307" t="s">
        <v>906</v>
      </c>
      <c r="B540" s="183"/>
      <c r="C540" s="218"/>
      <c r="D540" s="593" t="e">
        <f>+VLOOKUP(D521,#REF!,15,FALSE)</f>
        <v>#REF!</v>
      </c>
      <c r="E540" s="594" t="e">
        <f>+VLOOKUP(E521,#REF!,15,FALSE)</f>
        <v>#REF!</v>
      </c>
      <c r="F540" s="595" t="e">
        <f>+VLOOKUP(F521,#REF!,15,FALSE)</f>
        <v>#REF!</v>
      </c>
      <c r="G540" s="593" t="e">
        <f>+VLOOKUP(G521,#REF!,15,FALSE)</f>
        <v>#REF!</v>
      </c>
      <c r="H540" s="594" t="e">
        <f>+VLOOKUP(H521,#REF!,15,FALSE)</f>
        <v>#REF!</v>
      </c>
      <c r="I540" s="593" t="e">
        <f>+VLOOKUP(I521,#REF!,15,FALSE)</f>
        <v>#REF!</v>
      </c>
      <c r="J540" s="595" t="e">
        <f>+VLOOKUP(J521,#REF!,15,FALSE)</f>
        <v>#REF!</v>
      </c>
      <c r="K540" s="35"/>
      <c r="L540" s="51"/>
    </row>
    <row r="541" spans="1:12">
      <c r="A541" s="592" t="s">
        <v>688</v>
      </c>
      <c r="B541" s="183"/>
      <c r="C541" s="218"/>
      <c r="D541" s="593" t="e">
        <f>+VLOOKUP(D$521,#REF!,11,FALSE)</f>
        <v>#REF!</v>
      </c>
      <c r="E541" s="594" t="e">
        <f>+VLOOKUP(E$521,#REF!,11,FALSE)</f>
        <v>#REF!</v>
      </c>
      <c r="F541" s="595" t="e">
        <f>+VLOOKUP(F$521,#REF!,11,FALSE)</f>
        <v>#REF!</v>
      </c>
      <c r="G541" s="593">
        <v>0</v>
      </c>
      <c r="H541" s="594">
        <v>0</v>
      </c>
      <c r="I541" s="593">
        <v>0</v>
      </c>
      <c r="J541" s="595">
        <v>0</v>
      </c>
      <c r="K541" s="35"/>
      <c r="L541" s="51"/>
    </row>
    <row r="542" spans="1:12">
      <c r="A542" s="592" t="s">
        <v>708</v>
      </c>
      <c r="B542" s="183"/>
      <c r="C542" s="218"/>
      <c r="D542" s="593" t="e">
        <f>+VLOOKUP(D$521,#REF!,10,FALSE)</f>
        <v>#REF!</v>
      </c>
      <c r="E542" s="594" t="e">
        <f>+VLOOKUP(E$521,#REF!,10,FALSE)</f>
        <v>#REF!</v>
      </c>
      <c r="F542" s="595" t="e">
        <f>+VLOOKUP(F$521,#REF!,10,FALSE)</f>
        <v>#REF!</v>
      </c>
      <c r="G542" s="593">
        <v>0</v>
      </c>
      <c r="H542" s="594">
        <v>0</v>
      </c>
      <c r="I542" s="593">
        <v>0</v>
      </c>
      <c r="J542" s="595">
        <v>0</v>
      </c>
      <c r="K542" s="35"/>
      <c r="L542" s="51"/>
    </row>
    <row r="543" spans="1:12">
      <c r="A543" s="592" t="s">
        <v>961</v>
      </c>
      <c r="B543" s="183"/>
      <c r="C543" s="218"/>
      <c r="D543" s="604">
        <v>0.89</v>
      </c>
      <c r="E543" s="604">
        <v>0.89</v>
      </c>
      <c r="F543" s="604">
        <v>0.89</v>
      </c>
      <c r="G543" s="604">
        <v>2.76</v>
      </c>
      <c r="H543" s="604">
        <v>4.6500000000000004</v>
      </c>
      <c r="I543" s="604">
        <v>5.86</v>
      </c>
      <c r="J543" s="604">
        <v>6.53</v>
      </c>
      <c r="K543" s="35"/>
      <c r="L543" s="51"/>
    </row>
    <row r="544" spans="1:12">
      <c r="A544" s="592" t="s">
        <v>690</v>
      </c>
      <c r="B544" s="183"/>
      <c r="C544" s="218"/>
      <c r="D544" s="605">
        <v>39680</v>
      </c>
      <c r="E544" s="605">
        <v>39680</v>
      </c>
      <c r="F544" s="605">
        <v>39680</v>
      </c>
      <c r="G544" s="605">
        <v>40410</v>
      </c>
      <c r="H544" s="605">
        <v>40867</v>
      </c>
      <c r="I544" s="605">
        <v>41414</v>
      </c>
      <c r="J544" s="606">
        <v>41414</v>
      </c>
      <c r="K544" s="35"/>
      <c r="L544" s="51"/>
    </row>
    <row r="545" spans="1:12">
      <c r="A545" s="592" t="s">
        <v>691</v>
      </c>
      <c r="B545" s="183"/>
      <c r="C545" s="218"/>
      <c r="D545" s="606">
        <v>40867</v>
      </c>
      <c r="E545" s="606">
        <v>40867</v>
      </c>
      <c r="F545" s="606">
        <v>40867</v>
      </c>
      <c r="G545" s="606">
        <v>40867</v>
      </c>
      <c r="H545" s="606">
        <v>40867</v>
      </c>
      <c r="I545" s="606">
        <v>41414</v>
      </c>
      <c r="J545" s="606">
        <v>41414</v>
      </c>
      <c r="K545" s="35"/>
      <c r="L545" s="51"/>
    </row>
    <row r="546" spans="1:12">
      <c r="A546" s="592" t="s">
        <v>692</v>
      </c>
      <c r="B546" s="183"/>
      <c r="C546" s="218"/>
      <c r="D546" s="606">
        <v>48172</v>
      </c>
      <c r="E546" s="606">
        <v>48172</v>
      </c>
      <c r="F546" s="606">
        <v>48172</v>
      </c>
      <c r="G546" s="606">
        <v>57304</v>
      </c>
      <c r="H546" s="606">
        <v>57304</v>
      </c>
      <c r="I546" s="606">
        <v>57304</v>
      </c>
      <c r="J546" s="606">
        <v>57304</v>
      </c>
      <c r="K546" s="35"/>
      <c r="L546" s="51"/>
    </row>
    <row r="547" spans="1:12">
      <c r="A547" s="592"/>
      <c r="B547" s="183"/>
      <c r="C547" s="218"/>
      <c r="D547" s="606"/>
      <c r="E547" s="606"/>
      <c r="F547" s="606"/>
      <c r="G547" s="308"/>
      <c r="H547" s="323"/>
      <c r="I547" s="216"/>
      <c r="J547" s="308"/>
      <c r="K547" s="323"/>
      <c r="L547" s="51"/>
    </row>
    <row r="548" spans="1:12">
      <c r="A548" s="592"/>
      <c r="B548" s="183"/>
      <c r="C548" s="218"/>
      <c r="D548" s="607"/>
      <c r="E548" s="608"/>
      <c r="F548" s="608"/>
      <c r="G548" s="308"/>
      <c r="H548" s="216"/>
      <c r="I548" s="216"/>
      <c r="J548" s="308"/>
      <c r="K548" s="216"/>
      <c r="L548" s="51"/>
    </row>
    <row r="549" spans="1:12">
      <c r="A549" s="567"/>
      <c r="B549" s="183"/>
      <c r="C549" s="218"/>
      <c r="D549" s="609">
        <v>8</v>
      </c>
      <c r="E549" s="609">
        <v>9</v>
      </c>
      <c r="F549" s="609">
        <v>10</v>
      </c>
      <c r="G549" s="593"/>
      <c r="H549" s="594"/>
      <c r="I549" s="595"/>
      <c r="J549" s="593"/>
      <c r="K549" s="594"/>
      <c r="L549" s="610"/>
    </row>
    <row r="550" spans="1:12">
      <c r="A550" s="589"/>
      <c r="B550" s="183"/>
      <c r="C550" s="218"/>
      <c r="D550" s="590" t="s">
        <v>16</v>
      </c>
      <c r="E550" s="591" t="s">
        <v>17</v>
      </c>
      <c r="F550" s="578" t="s">
        <v>18</v>
      </c>
      <c r="G550" s="611" t="s">
        <v>19</v>
      </c>
      <c r="H550" s="612" t="s">
        <v>20</v>
      </c>
      <c r="I550" s="613" t="s">
        <v>21</v>
      </c>
      <c r="J550" s="611" t="s">
        <v>22</v>
      </c>
      <c r="K550" s="612" t="s">
        <v>26</v>
      </c>
      <c r="L550" s="614" t="s">
        <v>27</v>
      </c>
    </row>
    <row r="551" spans="1:12">
      <c r="A551" s="592" t="s">
        <v>408</v>
      </c>
      <c r="B551" s="183"/>
      <c r="C551" s="218"/>
      <c r="D551" s="308" t="s">
        <v>693</v>
      </c>
      <c r="E551" s="323" t="s">
        <v>694</v>
      </c>
      <c r="F551" s="216" t="s">
        <v>695</v>
      </c>
      <c r="G551" s="308" t="s">
        <v>696</v>
      </c>
      <c r="H551" s="323" t="s">
        <v>697</v>
      </c>
      <c r="I551" s="216" t="s">
        <v>698</v>
      </c>
      <c r="J551" s="308" t="s">
        <v>699</v>
      </c>
      <c r="K551" s="323" t="s">
        <v>700</v>
      </c>
      <c r="L551" s="327" t="s">
        <v>701</v>
      </c>
    </row>
    <row r="552" spans="1:12">
      <c r="A552" s="592" t="s">
        <v>416</v>
      </c>
      <c r="B552" s="615"/>
      <c r="C552" s="218"/>
      <c r="D552" s="308" t="s">
        <v>702</v>
      </c>
      <c r="E552" s="216">
        <v>27384137</v>
      </c>
      <c r="F552" s="216">
        <v>27384153</v>
      </c>
      <c r="G552" s="308" t="s">
        <v>703</v>
      </c>
      <c r="H552" s="216">
        <v>27384269</v>
      </c>
      <c r="I552" s="216">
        <v>27384331</v>
      </c>
      <c r="J552" s="308" t="s">
        <v>704</v>
      </c>
      <c r="K552" s="216">
        <v>27384412</v>
      </c>
      <c r="L552" s="327">
        <v>27384536</v>
      </c>
    </row>
    <row r="553" spans="1:12">
      <c r="A553" s="592" t="s">
        <v>675</v>
      </c>
      <c r="B553" s="183"/>
      <c r="C553" s="218"/>
      <c r="D553" s="593">
        <v>84500000</v>
      </c>
      <c r="E553" s="594">
        <v>167000000</v>
      </c>
      <c r="F553" s="595">
        <v>23000000</v>
      </c>
      <c r="G553" s="593">
        <v>74500000</v>
      </c>
      <c r="H553" s="594">
        <v>91000000</v>
      </c>
      <c r="I553" s="595">
        <v>56000000</v>
      </c>
      <c r="J553" s="593">
        <v>70000000</v>
      </c>
      <c r="K553" s="594">
        <v>211000000</v>
      </c>
      <c r="L553" s="616">
        <v>20000000</v>
      </c>
    </row>
    <row r="554" spans="1:12">
      <c r="A554" s="592" t="s">
        <v>676</v>
      </c>
      <c r="B554" s="183"/>
      <c r="C554" s="218"/>
      <c r="D554" s="593" t="e">
        <f>+VLOOKUP($B$9,#REF!,9,FALSE)</f>
        <v>#REF!</v>
      </c>
      <c r="E554" s="594" t="e">
        <f>+VLOOKUP($B$9,#REF!,10,FALSE)</f>
        <v>#REF!</v>
      </c>
      <c r="F554" s="595" t="e">
        <f>+VLOOKUP($B$9,#REF!,F549+1,FALSE)</f>
        <v>#REF!</v>
      </c>
      <c r="G554" s="593" t="e">
        <f>+VLOOKUP($B$9,#REF!,12,FALSE)</f>
        <v>#REF!</v>
      </c>
      <c r="H554" s="594" t="e">
        <f>+VLOOKUP($B$9,#REF!,13,FALSE)</f>
        <v>#REF!</v>
      </c>
      <c r="I554" s="597" t="e">
        <f>+VLOOKUP($B$9,#REF!,14,FALSE)</f>
        <v>#REF!</v>
      </c>
      <c r="J554" s="593" t="e">
        <f>+VLOOKUP($B$9,#REF!,15,FALSE)</f>
        <v>#REF!</v>
      </c>
      <c r="K554" s="594" t="e">
        <f>+VLOOKUP($B$9,#REF!,16,FALSE)</f>
        <v>#REF!</v>
      </c>
      <c r="L554" s="617" t="e">
        <f>+VLOOKUP($B$9,#REF!,17,FALSE)</f>
        <v>#REF!</v>
      </c>
    </row>
    <row r="555" spans="1:12">
      <c r="A555" s="592" t="s">
        <v>907</v>
      </c>
      <c r="B555" s="183"/>
      <c r="C555" s="218"/>
      <c r="D555" s="593" t="e">
        <f>+VLOOKUP($D$9,#REF!,9,FALSE)</f>
        <v>#REF!</v>
      </c>
      <c r="E555" s="598" t="e">
        <f>+VLOOKUP($D$9,#REF!,10,FALSE)</f>
        <v>#REF!</v>
      </c>
      <c r="F555" s="595" t="e">
        <f>+VLOOKUP($D$9,#REF!,F549+1,FALSE)</f>
        <v>#REF!</v>
      </c>
      <c r="G555" s="593" t="e">
        <f>+VLOOKUP($D$9,#REF!,12,FALSE)</f>
        <v>#REF!</v>
      </c>
      <c r="H555" s="594" t="e">
        <f>+VLOOKUP($D$9,#REF!,13,FALSE)</f>
        <v>#REF!</v>
      </c>
      <c r="I555" s="597" t="e">
        <f>+VLOOKUP($D$9,#REF!,14,FALSE)</f>
        <v>#REF!</v>
      </c>
      <c r="J555" s="593" t="e">
        <f>+VLOOKUP($D$9,#REF!,15,FALSE)</f>
        <v>#REF!</v>
      </c>
      <c r="K555" s="594" t="e">
        <f>+VLOOKUP($D$9,#REF!,16,FALSE)</f>
        <v>#REF!</v>
      </c>
      <c r="L555" s="617" t="e">
        <f>+VLOOKUP($D$9,#REF!,17,FALSE)</f>
        <v>#REF!</v>
      </c>
    </row>
    <row r="556" spans="1:12">
      <c r="A556" s="592" t="s">
        <v>677</v>
      </c>
      <c r="B556" s="183"/>
      <c r="C556" s="218"/>
      <c r="D556" s="593" t="e">
        <f>+VLOOKUP($D$9,#REF!,9,FALSE)</f>
        <v>#REF!</v>
      </c>
      <c r="E556" s="594" t="e">
        <f>+VLOOKUP($D$9,#REF!,10,FALSE)</f>
        <v>#REF!</v>
      </c>
      <c r="F556" s="595" t="e">
        <f>+VLOOKUP($D$9,#REF!,F$549+1,FALSE)</f>
        <v>#REF!</v>
      </c>
      <c r="G556" s="593" t="e">
        <f>+VLOOKUP($D$9,#REF!,12,FALSE)</f>
        <v>#REF!</v>
      </c>
      <c r="H556" s="594" t="e">
        <f>+VLOOKUP($D$9,#REF!,13,FALSE)</f>
        <v>#REF!</v>
      </c>
      <c r="I556" s="597" t="e">
        <f>+VLOOKUP($D$9,#REF!,14,FALSE)</f>
        <v>#REF!</v>
      </c>
      <c r="J556" s="593" t="e">
        <f>+VLOOKUP($D$9,#REF!,15,FALSE)</f>
        <v>#REF!</v>
      </c>
      <c r="K556" s="594" t="e">
        <f>+VLOOKUP($D$9,#REF!,16,FALSE)</f>
        <v>#REF!</v>
      </c>
      <c r="L556" s="617" t="e">
        <f>+VLOOKUP($D$9,#REF!,17,FALSE)</f>
        <v>#REF!</v>
      </c>
    </row>
    <row r="557" spans="1:12">
      <c r="A557" s="592" t="s">
        <v>402</v>
      </c>
      <c r="B557" s="183"/>
      <c r="C557" s="218"/>
      <c r="D557" s="600" t="e">
        <f>#REF!</f>
        <v>#REF!</v>
      </c>
      <c r="E557" s="600" t="e">
        <f>#REF!</f>
        <v>#REF!</v>
      </c>
      <c r="F557" s="600" t="e">
        <f>#REF!</f>
        <v>#REF!</v>
      </c>
      <c r="G557" s="600" t="e">
        <f>#REF!</f>
        <v>#REF!</v>
      </c>
      <c r="H557" s="600" t="e">
        <f>#REF!</f>
        <v>#REF!</v>
      </c>
      <c r="I557" s="600" t="e">
        <f>#REF!</f>
        <v>#REF!</v>
      </c>
      <c r="J557" s="600" t="e">
        <f>#REF!</f>
        <v>#REF!</v>
      </c>
      <c r="K557" s="600" t="e">
        <f>#REF!</f>
        <v>#REF!</v>
      </c>
      <c r="L557" s="618" t="e">
        <f>#REF!</f>
        <v>#REF!</v>
      </c>
    </row>
    <row r="558" spans="1:12">
      <c r="A558" s="592" t="s">
        <v>403</v>
      </c>
      <c r="B558" s="183"/>
      <c r="C558" s="218"/>
      <c r="D558" s="600" t="e">
        <f>#REF!</f>
        <v>#REF!</v>
      </c>
      <c r="E558" s="600" t="e">
        <f>#REF!</f>
        <v>#REF!</v>
      </c>
      <c r="F558" s="600" t="e">
        <f>#REF!</f>
        <v>#REF!</v>
      </c>
      <c r="G558" s="600" t="e">
        <f>#REF!</f>
        <v>#REF!</v>
      </c>
      <c r="H558" s="600" t="e">
        <f>#REF!</f>
        <v>#REF!</v>
      </c>
      <c r="I558" s="600" t="e">
        <f>#REF!</f>
        <v>#REF!</v>
      </c>
      <c r="J558" s="600" t="e">
        <f>#REF!</f>
        <v>#REF!</v>
      </c>
      <c r="K558" s="600" t="e">
        <f>#REF!</f>
        <v>#REF!</v>
      </c>
      <c r="L558" s="618" t="e">
        <f>#REF!</f>
        <v>#REF!</v>
      </c>
    </row>
    <row r="559" spans="1:12">
      <c r="A559" s="592" t="s">
        <v>678</v>
      </c>
      <c r="B559" s="183"/>
      <c r="C559" s="218"/>
      <c r="D559" s="601" t="e">
        <f>+VLOOKUP($D$9,#REF!,9,FALSE)</f>
        <v>#REF!</v>
      </c>
      <c r="E559" s="594" t="e">
        <f>+VLOOKUP($D$9,#REF!,10,FALSE)</f>
        <v>#REF!</v>
      </c>
      <c r="F559" s="602" t="e">
        <f>+VLOOKUP($D$9,#REF!,11,FALSE)</f>
        <v>#REF!</v>
      </c>
      <c r="G559" s="601" t="e">
        <f>+VLOOKUP($D$9,#REF!,12,FALSE)</f>
        <v>#REF!</v>
      </c>
      <c r="H559" s="594" t="e">
        <f>+VLOOKUP($D$9,#REF!,13,FALSE)</f>
        <v>#REF!</v>
      </c>
      <c r="I559" s="602" t="e">
        <f>+VLOOKUP($D$9,#REF!,14,FALSE)</f>
        <v>#REF!</v>
      </c>
      <c r="J559" s="601" t="e">
        <f>+VLOOKUP($D$9,#REF!,15,FALSE)</f>
        <v>#REF!</v>
      </c>
      <c r="K559" s="594" t="e">
        <f>+VLOOKUP($D$9,#REF!,16,FALSE)</f>
        <v>#REF!</v>
      </c>
      <c r="L559" s="619">
        <v>0</v>
      </c>
    </row>
    <row r="560" spans="1:12">
      <c r="A560" s="592" t="s">
        <v>679</v>
      </c>
      <c r="B560" s="183"/>
      <c r="C560" s="218"/>
      <c r="D560" s="601" t="e">
        <f>+VLOOKUP($D$9,#REF!,9,FALSE)</f>
        <v>#REF!</v>
      </c>
      <c r="E560" s="594" t="e">
        <f>+VLOOKUP($D$9,#REF!,10,FALSE)</f>
        <v>#REF!</v>
      </c>
      <c r="F560" s="602" t="e">
        <f>+VLOOKUP($D$9,#REF!,11,FALSE)</f>
        <v>#REF!</v>
      </c>
      <c r="G560" s="601" t="e">
        <f>+VLOOKUP($D$9,#REF!,12,FALSE)</f>
        <v>#REF!</v>
      </c>
      <c r="H560" s="594" t="e">
        <f>+VLOOKUP($D$9,#REF!,13,FALSE)</f>
        <v>#REF!</v>
      </c>
      <c r="I560" s="602" t="e">
        <f>+VLOOKUP($D$9,#REF!,14,FALSE)</f>
        <v>#REF!</v>
      </c>
      <c r="J560" s="601" t="e">
        <f>+VLOOKUP($D$9,#REF!,15,FALSE)</f>
        <v>#REF!</v>
      </c>
      <c r="K560" s="594" t="e">
        <f>+VLOOKUP($D$9,#REF!,16,FALSE)</f>
        <v>#REF!</v>
      </c>
      <c r="L560" s="619" t="e">
        <f>+VLOOKUP($D$9,#REF!,17,FALSE)</f>
        <v>#REF!</v>
      </c>
    </row>
    <row r="561" spans="1:40">
      <c r="A561" s="592" t="s">
        <v>680</v>
      </c>
      <c r="B561" s="183"/>
      <c r="C561" s="218"/>
      <c r="D561" s="601" t="e">
        <f>+VLOOKUP($D$9,#REF!,9,FALSE)</f>
        <v>#REF!</v>
      </c>
      <c r="E561" s="594" t="e">
        <f>+VLOOKUP($D$9,#REF!,10,FALSE)</f>
        <v>#REF!</v>
      </c>
      <c r="F561" s="602" t="e">
        <f>+VLOOKUP($D$9,#REF!,11,FALSE)</f>
        <v>#REF!</v>
      </c>
      <c r="G561" s="601" t="e">
        <f>+VLOOKUP($D$9,#REF!,12,FALSE)</f>
        <v>#REF!</v>
      </c>
      <c r="H561" s="594" t="e">
        <f>+VLOOKUP($D$9,#REF!,13,FALSE)</f>
        <v>#REF!</v>
      </c>
      <c r="I561" s="602" t="e">
        <f>+VLOOKUP($D$9,#REF!,14,FALSE)</f>
        <v>#REF!</v>
      </c>
      <c r="J561" s="601" t="e">
        <f>+VLOOKUP($D$9,#REF!,15,FALSE)</f>
        <v>#REF!</v>
      </c>
      <c r="K561" s="594" t="e">
        <f>+VLOOKUP($D$9,#REF!,16,FALSE)</f>
        <v>#REF!</v>
      </c>
      <c r="L561" s="619" t="e">
        <f>+VLOOKUP($D$9,#REF!,17,FALSE)</f>
        <v>#REF!</v>
      </c>
    </row>
    <row r="562" spans="1:40">
      <c r="A562" s="1327" t="s">
        <v>120</v>
      </c>
      <c r="B562" s="1328"/>
      <c r="C562" s="1328"/>
      <c r="D562" s="601" t="e">
        <f>+VLOOKUP($D$9,#REF!,9,FALSE)</f>
        <v>#REF!</v>
      </c>
      <c r="E562" s="594" t="e">
        <f>+VLOOKUP($D$9,#REF!,10,FALSE)</f>
        <v>#REF!</v>
      </c>
      <c r="F562" s="602" t="e">
        <f>+VLOOKUP($D$9,#REF!,11,FALSE)</f>
        <v>#REF!</v>
      </c>
      <c r="G562" s="601" t="e">
        <f>+VLOOKUP($D$9,#REF!,12,FALSE)</f>
        <v>#REF!</v>
      </c>
      <c r="H562" s="594" t="e">
        <f>+VLOOKUP($D$9,#REF!,13,FALSE)</f>
        <v>#REF!</v>
      </c>
      <c r="I562" s="602" t="e">
        <f>+VLOOKUP($D$9,#REF!,14,FALSE)</f>
        <v>#REF!</v>
      </c>
      <c r="J562" s="601" t="e">
        <f>+VLOOKUP($D$9,#REF!,15,FALSE)</f>
        <v>#REF!</v>
      </c>
      <c r="K562" s="594" t="e">
        <f>+VLOOKUP($D$9,#REF!,16,FALSE)</f>
        <v>#REF!</v>
      </c>
      <c r="L562" s="619" t="e">
        <f>+VLOOKUP($D$9,#REF!,17,FALSE)</f>
        <v>#REF!</v>
      </c>
    </row>
    <row r="563" spans="1:40">
      <c r="A563" s="592" t="s">
        <v>757</v>
      </c>
      <c r="B563" s="183"/>
      <c r="C563" s="218"/>
      <c r="D563" s="216" t="s">
        <v>705</v>
      </c>
      <c r="E563" s="216" t="s">
        <v>705</v>
      </c>
      <c r="F563" s="216" t="s">
        <v>705</v>
      </c>
      <c r="G563" s="216" t="s">
        <v>706</v>
      </c>
      <c r="H563" s="216" t="s">
        <v>706</v>
      </c>
      <c r="I563" s="216" t="s">
        <v>706</v>
      </c>
      <c r="J563" s="216" t="s">
        <v>707</v>
      </c>
      <c r="K563" s="216" t="s">
        <v>707</v>
      </c>
      <c r="L563" s="327" t="s">
        <v>707</v>
      </c>
    </row>
    <row r="564" spans="1:40">
      <c r="A564" s="592" t="s">
        <v>682</v>
      </c>
      <c r="B564" s="183"/>
      <c r="C564" s="218"/>
      <c r="D564" s="217" t="s">
        <v>683</v>
      </c>
      <c r="E564" s="217" t="s">
        <v>684</v>
      </c>
      <c r="F564" s="217" t="s">
        <v>685</v>
      </c>
      <c r="G564" s="217" t="s">
        <v>683</v>
      </c>
      <c r="H564" s="217" t="s">
        <v>684</v>
      </c>
      <c r="I564" s="217" t="s">
        <v>685</v>
      </c>
      <c r="J564" s="217" t="s">
        <v>683</v>
      </c>
      <c r="K564" s="217" t="s">
        <v>684</v>
      </c>
      <c r="L564" s="620" t="s">
        <v>685</v>
      </c>
    </row>
    <row r="565" spans="1:40">
      <c r="A565" s="592" t="s">
        <v>686</v>
      </c>
      <c r="B565" s="183"/>
      <c r="C565" s="218"/>
      <c r="D565" s="603" t="e">
        <f>#REF!</f>
        <v>#REF!</v>
      </c>
      <c r="E565" s="603" t="e">
        <f>#REF!</f>
        <v>#REF!</v>
      </c>
      <c r="F565" s="603" t="e">
        <f>#REF!</f>
        <v>#REF!</v>
      </c>
      <c r="G565" s="603" t="e">
        <f>#REF!</f>
        <v>#REF!</v>
      </c>
      <c r="H565" s="603" t="e">
        <f>#REF!</f>
        <v>#REF!</v>
      </c>
      <c r="I565" s="603" t="e">
        <f>#REF!</f>
        <v>#REF!</v>
      </c>
      <c r="J565" s="603" t="e">
        <f>#REF!</f>
        <v>#REF!</v>
      </c>
      <c r="K565" s="603" t="e">
        <f>#REF!</f>
        <v>#REF!</v>
      </c>
      <c r="L565" s="621" t="e">
        <f>#REF!</f>
        <v>#REF!</v>
      </c>
    </row>
    <row r="566" spans="1:40">
      <c r="A566" s="592" t="s">
        <v>687</v>
      </c>
      <c r="B566" s="183"/>
      <c r="C566" s="218"/>
      <c r="D566" s="603" t="e">
        <f>+VLOOKUP(D550,#REF!,6,FALSE)</f>
        <v>#REF!</v>
      </c>
      <c r="E566" s="603" t="e">
        <f>+VLOOKUP(E550,#REF!,6,FALSE)</f>
        <v>#REF!</v>
      </c>
      <c r="F566" s="603" t="e">
        <f>+VLOOKUP(F550,#REF!,6,FALSE)</f>
        <v>#REF!</v>
      </c>
      <c r="G566" s="603" t="e">
        <f>+VLOOKUP(G550,#REF!,6,FALSE)</f>
        <v>#REF!</v>
      </c>
      <c r="H566" s="603" t="e">
        <f>+VLOOKUP(H550,#REF!,6,FALSE)</f>
        <v>#REF!</v>
      </c>
      <c r="I566" s="603" t="e">
        <f>+VLOOKUP(I550,#REF!,6,FALSE)</f>
        <v>#REF!</v>
      </c>
      <c r="J566" s="603" t="e">
        <f>+VLOOKUP(J550,#REF!,6,FALSE)</f>
        <v>#REF!</v>
      </c>
      <c r="K566" s="603" t="e">
        <f>+VLOOKUP(K550,#REF!,6,FALSE)</f>
        <v>#REF!</v>
      </c>
      <c r="L566" s="621" t="e">
        <f>+VLOOKUP(L550,#REF!,6,FALSE)</f>
        <v>#REF!</v>
      </c>
    </row>
    <row r="567" spans="1:40">
      <c r="A567" s="592" t="s">
        <v>909</v>
      </c>
      <c r="B567" s="183"/>
      <c r="C567" s="218"/>
      <c r="D567" s="593" t="e">
        <f>+VLOOKUP(D550,#REF!,3,FALSE)</f>
        <v>#REF!</v>
      </c>
      <c r="E567" s="594" t="e">
        <f>+VLOOKUP(E550,#REF!,3,FALSE)</f>
        <v>#REF!</v>
      </c>
      <c r="F567" s="595" t="e">
        <f>+VLOOKUP(F550,#REF!,3,FALSE)</f>
        <v>#REF!</v>
      </c>
      <c r="G567" s="593" t="e">
        <f>+VLOOKUP(G550,#REF!,3,FALSE)</f>
        <v>#REF!</v>
      </c>
      <c r="H567" s="594" t="e">
        <f>+VLOOKUP(H550,#REF!,3,FALSE)</f>
        <v>#REF!</v>
      </c>
      <c r="I567" s="595" t="e">
        <f>+VLOOKUP(I550,#REF!,3,FALSE)</f>
        <v>#REF!</v>
      </c>
      <c r="J567" s="593" t="e">
        <f>+VLOOKUP(J550,#REF!,3,FALSE)</f>
        <v>#REF!</v>
      </c>
      <c r="K567" s="594" t="e">
        <f>+VLOOKUP(K550,#REF!,3,FALSE)</f>
        <v>#REF!</v>
      </c>
      <c r="L567" s="616" t="e">
        <f>+VLOOKUP(L550,#REF!,3,FALSE)</f>
        <v>#REF!</v>
      </c>
    </row>
    <row r="568" spans="1:40">
      <c r="A568" s="307" t="s">
        <v>906</v>
      </c>
      <c r="B568" s="183"/>
      <c r="C568" s="218"/>
      <c r="D568" s="593" t="e">
        <f>+VLOOKUP(D550,#REF!,15,FALSE)</f>
        <v>#REF!</v>
      </c>
      <c r="E568" s="594" t="e">
        <f>+VLOOKUP(E550,#REF!,15,FALSE)</f>
        <v>#REF!</v>
      </c>
      <c r="F568" s="595" t="e">
        <f>+VLOOKUP(F550,#REF!,15,FALSE)</f>
        <v>#REF!</v>
      </c>
      <c r="G568" s="593" t="e">
        <f>+VLOOKUP(G550,#REF!,15,FALSE)</f>
        <v>#REF!</v>
      </c>
      <c r="H568" s="594" t="e">
        <f>+VLOOKUP(H550,#REF!,15,FALSE)</f>
        <v>#REF!</v>
      </c>
      <c r="I568" s="595" t="e">
        <f>+VLOOKUP(I550,#REF!,15,FALSE)</f>
        <v>#REF!</v>
      </c>
      <c r="J568" s="593" t="e">
        <f>+VLOOKUP(J550,#REF!,15,FALSE)</f>
        <v>#REF!</v>
      </c>
      <c r="K568" s="594" t="e">
        <f>+VLOOKUP(K550,#REF!,15,FALSE)</f>
        <v>#REF!</v>
      </c>
      <c r="L568" s="616" t="e">
        <f>+VLOOKUP(L550,#REF!,15,FALSE)</f>
        <v>#REF!</v>
      </c>
    </row>
    <row r="569" spans="1:40">
      <c r="A569" s="592" t="s">
        <v>688</v>
      </c>
      <c r="B569" s="183"/>
      <c r="C569" s="218"/>
      <c r="D569" s="593" t="e">
        <f>+VLOOKUP(D$550,#REF!,11,FALSE)</f>
        <v>#REF!</v>
      </c>
      <c r="E569" s="594" t="e">
        <f>+VLOOKUP(E$550,#REF!,11,FALSE)</f>
        <v>#REF!</v>
      </c>
      <c r="F569" s="595" t="e">
        <f>+VLOOKUP(F$550,#REF!,11,FALSE)</f>
        <v>#REF!</v>
      </c>
      <c r="G569" s="593">
        <v>0</v>
      </c>
      <c r="H569" s="594">
        <v>0</v>
      </c>
      <c r="I569" s="595">
        <v>0</v>
      </c>
      <c r="J569" s="593" t="e">
        <f>J567-J568</f>
        <v>#REF!</v>
      </c>
      <c r="K569" s="594" t="e">
        <f>K567-K568</f>
        <v>#REF!</v>
      </c>
      <c r="L569" s="616" t="e">
        <f>L567-L568</f>
        <v>#REF!</v>
      </c>
    </row>
    <row r="570" spans="1:40">
      <c r="A570" s="592" t="s">
        <v>708</v>
      </c>
      <c r="B570" s="183"/>
      <c r="C570" s="218"/>
      <c r="D570" s="593" t="e">
        <f>+VLOOKUP(D$550,#REF!,11,FALSE)</f>
        <v>#REF!</v>
      </c>
      <c r="E570" s="594" t="e">
        <f>+VLOOKUP(E$550,#REF!,11,FALSE)</f>
        <v>#REF!</v>
      </c>
      <c r="F570" s="595" t="e">
        <f>+VLOOKUP(F$550,#REF!,11,FALSE)</f>
        <v>#REF!</v>
      </c>
      <c r="G570" s="593">
        <v>0</v>
      </c>
      <c r="H570" s="594">
        <v>0</v>
      </c>
      <c r="I570" s="595">
        <v>0</v>
      </c>
      <c r="J570" s="593" t="e">
        <f>+VLOOKUP(J550,#REF!,11,FALSE)</f>
        <v>#REF!</v>
      </c>
      <c r="K570" s="594" t="e">
        <f>+VLOOKUP(K550,#REF!,11,FALSE)</f>
        <v>#REF!</v>
      </c>
      <c r="L570" s="616" t="e">
        <f>+VLOOKUP(L550,#REF!,11,FALSE)</f>
        <v>#REF!</v>
      </c>
    </row>
    <row r="571" spans="1:40">
      <c r="A571" s="592" t="s">
        <v>689</v>
      </c>
      <c r="B571" s="183"/>
      <c r="C571" s="218"/>
      <c r="D571" s="308">
        <v>1.78</v>
      </c>
      <c r="E571" s="308">
        <v>5.03</v>
      </c>
      <c r="F571" s="308">
        <v>5.03</v>
      </c>
      <c r="G571" s="308">
        <v>1.78</v>
      </c>
      <c r="H571" s="308">
        <v>5.03</v>
      </c>
      <c r="I571" s="308">
        <v>5.03</v>
      </c>
      <c r="J571" s="308">
        <v>5.03</v>
      </c>
      <c r="K571" s="308">
        <v>5.03</v>
      </c>
      <c r="L571" s="326">
        <v>5.03</v>
      </c>
    </row>
    <row r="572" spans="1:40">
      <c r="A572" s="592" t="s">
        <v>690</v>
      </c>
      <c r="B572" s="183"/>
      <c r="C572" s="218"/>
      <c r="D572" s="605">
        <v>39680</v>
      </c>
      <c r="E572" s="606">
        <v>40867</v>
      </c>
      <c r="F572" s="606">
        <v>40867</v>
      </c>
      <c r="G572" s="605">
        <v>39680</v>
      </c>
      <c r="H572" s="606">
        <v>40867</v>
      </c>
      <c r="I572" s="606">
        <v>40867</v>
      </c>
      <c r="J572" s="606">
        <v>40867</v>
      </c>
      <c r="K572" s="606">
        <v>40867</v>
      </c>
      <c r="L572" s="610">
        <v>40867</v>
      </c>
      <c r="M572" s="622"/>
      <c r="N572" s="622"/>
      <c r="O572" s="622"/>
      <c r="P572" s="623"/>
      <c r="Q572" s="622"/>
      <c r="R572" s="622"/>
      <c r="S572" s="622"/>
      <c r="T572" s="622"/>
      <c r="U572" s="622"/>
      <c r="V572" s="622"/>
      <c r="W572" s="622"/>
      <c r="X572" s="622"/>
      <c r="Y572" s="622"/>
      <c r="Z572" s="623"/>
      <c r="AA572" s="622"/>
      <c r="AB572" s="622"/>
      <c r="AC572" s="622"/>
      <c r="AD572" s="622"/>
      <c r="AE572" s="622"/>
      <c r="AF572" s="622"/>
      <c r="AG572" s="622"/>
      <c r="AH572" s="622"/>
      <c r="AI572" s="622"/>
      <c r="AJ572" s="622"/>
    </row>
    <row r="573" spans="1:40">
      <c r="A573" s="592" t="s">
        <v>691</v>
      </c>
      <c r="B573" s="183"/>
      <c r="C573" s="218"/>
      <c r="D573" s="606">
        <v>40867</v>
      </c>
      <c r="E573" s="606">
        <v>40867</v>
      </c>
      <c r="F573" s="606">
        <v>40867</v>
      </c>
      <c r="G573" s="606">
        <v>40867</v>
      </c>
      <c r="H573" s="606">
        <v>40867</v>
      </c>
      <c r="I573" s="606">
        <v>40867</v>
      </c>
      <c r="J573" s="606">
        <v>40867</v>
      </c>
      <c r="K573" s="606">
        <v>40867</v>
      </c>
      <c r="L573" s="610">
        <v>40867</v>
      </c>
      <c r="M573" s="97"/>
      <c r="N573" s="97"/>
      <c r="O573" s="97"/>
      <c r="P573" s="97"/>
      <c r="Q573" s="97"/>
      <c r="R573" s="97"/>
      <c r="S573" s="97"/>
      <c r="T573" s="97"/>
      <c r="U573" s="97"/>
      <c r="V573" s="97"/>
      <c r="W573" s="97"/>
      <c r="X573" s="97"/>
      <c r="Y573" s="97"/>
      <c r="Z573" s="97"/>
      <c r="AA573" s="97"/>
      <c r="AB573" s="97"/>
      <c r="AC573" s="97"/>
      <c r="AD573" s="97"/>
      <c r="AE573" s="97"/>
      <c r="AF573" s="97"/>
      <c r="AG573" s="97"/>
      <c r="AH573" s="97"/>
      <c r="AI573" s="97"/>
      <c r="AJ573" s="97"/>
      <c r="AK573" s="96"/>
      <c r="AL573" s="96"/>
      <c r="AM573" s="96"/>
      <c r="AN573" s="96"/>
    </row>
    <row r="574" spans="1:40">
      <c r="A574" s="592" t="s">
        <v>692</v>
      </c>
      <c r="B574" s="183"/>
      <c r="C574" s="218"/>
      <c r="D574" s="606">
        <v>57304</v>
      </c>
      <c r="E574" s="606">
        <v>57304</v>
      </c>
      <c r="F574" s="606">
        <v>57304</v>
      </c>
      <c r="G574" s="606">
        <v>57304</v>
      </c>
      <c r="H574" s="606">
        <v>57304</v>
      </c>
      <c r="I574" s="606">
        <v>57304</v>
      </c>
      <c r="J574" s="606">
        <v>57304</v>
      </c>
      <c r="K574" s="606">
        <v>57304</v>
      </c>
      <c r="L574" s="610">
        <v>57304</v>
      </c>
      <c r="M574" s="98"/>
      <c r="N574" s="98"/>
      <c r="O574" s="98"/>
      <c r="P574" s="98"/>
      <c r="Q574" s="98"/>
      <c r="R574" s="98"/>
      <c r="S574" s="98"/>
      <c r="T574" s="98"/>
      <c r="U574" s="98"/>
      <c r="V574" s="98"/>
      <c r="W574" s="98"/>
      <c r="X574" s="98"/>
      <c r="Y574" s="98"/>
      <c r="Z574" s="98"/>
      <c r="AA574" s="98"/>
      <c r="AB574" s="98"/>
      <c r="AC574" s="98"/>
      <c r="AD574" s="98"/>
      <c r="AE574" s="98"/>
      <c r="AF574" s="98"/>
      <c r="AG574" s="98"/>
      <c r="AH574" s="98"/>
      <c r="AI574" s="98"/>
      <c r="AJ574" s="98"/>
      <c r="AK574" s="96"/>
      <c r="AL574" s="96"/>
      <c r="AM574" s="96"/>
      <c r="AN574" s="96"/>
    </row>
    <row r="575" spans="1:40">
      <c r="A575" s="390"/>
      <c r="B575" s="310"/>
      <c r="C575" s="311"/>
      <c r="D575" s="310"/>
      <c r="E575" s="311"/>
      <c r="F575" s="67"/>
      <c r="G575" s="405"/>
      <c r="H575" s="404"/>
      <c r="I575" s="624"/>
      <c r="J575" s="405"/>
      <c r="K575" s="405"/>
      <c r="L575" s="625"/>
    </row>
    <row r="576" spans="1:40">
      <c r="A576" s="189"/>
      <c r="C576" s="626"/>
      <c r="G576" s="216"/>
      <c r="H576" s="216"/>
      <c r="I576" s="216"/>
      <c r="J576" s="627"/>
      <c r="K576" s="216"/>
      <c r="L576" s="576"/>
    </row>
    <row r="577" spans="1:12">
      <c r="A577" s="242"/>
      <c r="D577" s="244">
        <v>14</v>
      </c>
      <c r="E577" s="244">
        <v>15</v>
      </c>
      <c r="F577" s="244">
        <v>16</v>
      </c>
      <c r="G577" s="593"/>
      <c r="H577" s="594"/>
      <c r="I577" s="593"/>
      <c r="J577" s="594"/>
      <c r="K577" s="595"/>
    </row>
    <row r="578" spans="1:12" ht="15.75">
      <c r="A578" s="415" t="s">
        <v>931</v>
      </c>
      <c r="B578" s="306"/>
      <c r="C578" s="359"/>
      <c r="D578" s="410" t="s">
        <v>759</v>
      </c>
      <c r="E578" s="410" t="s">
        <v>760</v>
      </c>
      <c r="F578" s="410" t="s">
        <v>761</v>
      </c>
      <c r="G578" s="628" t="s">
        <v>762</v>
      </c>
      <c r="H578" s="629" t="s">
        <v>763</v>
      </c>
      <c r="I578" s="630" t="s">
        <v>764</v>
      </c>
      <c r="J578" s="631" t="s">
        <v>765</v>
      </c>
      <c r="K578" s="632" t="s">
        <v>766</v>
      </c>
      <c r="L578" s="52"/>
    </row>
    <row r="579" spans="1:12">
      <c r="A579" s="592" t="s">
        <v>408</v>
      </c>
      <c r="B579" s="183"/>
      <c r="C579" s="218"/>
      <c r="D579" s="308" t="s">
        <v>487</v>
      </c>
      <c r="E579" s="323" t="s">
        <v>626</v>
      </c>
      <c r="F579" s="216" t="s">
        <v>627</v>
      </c>
      <c r="G579" s="308" t="s">
        <v>488</v>
      </c>
      <c r="H579" s="323" t="s">
        <v>628</v>
      </c>
      <c r="I579" s="216" t="s">
        <v>489</v>
      </c>
      <c r="J579" s="308" t="s">
        <v>629</v>
      </c>
      <c r="K579" s="308" t="s">
        <v>630</v>
      </c>
      <c r="L579" s="51"/>
    </row>
    <row r="580" spans="1:12">
      <c r="A580" s="592" t="s">
        <v>416</v>
      </c>
      <c r="B580" s="615"/>
      <c r="C580" s="218"/>
      <c r="D580" s="216">
        <v>30312732</v>
      </c>
      <c r="E580" s="216">
        <v>30299736</v>
      </c>
      <c r="F580" s="216">
        <v>30299809</v>
      </c>
      <c r="G580" s="216">
        <v>30312767</v>
      </c>
      <c r="H580" s="216">
        <v>30304519</v>
      </c>
      <c r="I580" s="216">
        <v>30299892</v>
      </c>
      <c r="J580" s="627">
        <v>30299906</v>
      </c>
      <c r="K580" s="216">
        <v>30299973</v>
      </c>
      <c r="L580" s="51"/>
    </row>
    <row r="581" spans="1:12">
      <c r="A581" s="592" t="s">
        <v>675</v>
      </c>
      <c r="B581" s="183"/>
      <c r="C581" s="218"/>
      <c r="D581" s="593">
        <v>2100000000</v>
      </c>
      <c r="E581" s="594">
        <v>454500000</v>
      </c>
      <c r="F581" s="595">
        <v>149300000</v>
      </c>
      <c r="G581" s="593">
        <v>1813500000</v>
      </c>
      <c r="H581" s="594">
        <v>500000000</v>
      </c>
      <c r="I581" s="593">
        <v>2429000000</v>
      </c>
      <c r="J581" s="594">
        <v>1146000000</v>
      </c>
      <c r="K581" s="595">
        <v>768500000</v>
      </c>
      <c r="L581" s="51"/>
    </row>
    <row r="582" spans="1:12">
      <c r="A582" s="592" t="s">
        <v>676</v>
      </c>
      <c r="B582" s="183"/>
      <c r="C582" s="218"/>
      <c r="D582" s="593">
        <v>0</v>
      </c>
      <c r="E582" s="594">
        <v>0</v>
      </c>
      <c r="F582" s="595">
        <v>0</v>
      </c>
      <c r="G582" s="633" t="e">
        <f>#REF!</f>
        <v>#REF!</v>
      </c>
      <c r="H582" s="634" t="e">
        <f>#REF!</f>
        <v>#REF!</v>
      </c>
      <c r="I582" s="635" t="e">
        <f>#REF!</f>
        <v>#REF!</v>
      </c>
      <c r="J582" s="594" t="e">
        <f>#REF!</f>
        <v>#REF!</v>
      </c>
      <c r="K582" s="595" t="e">
        <f>#REF!</f>
        <v>#REF!</v>
      </c>
      <c r="L582" s="51"/>
    </row>
    <row r="583" spans="1:12">
      <c r="A583" s="592" t="s">
        <v>907</v>
      </c>
      <c r="B583" s="183"/>
      <c r="C583" s="218"/>
      <c r="D583" s="593" t="e">
        <f>+VLOOKUP($D$9,#REF!,2,FALSE)</f>
        <v>#REF!</v>
      </c>
      <c r="E583" s="636" t="e">
        <f>+VLOOKUP($D$9,#REF!,3,FALSE)</f>
        <v>#REF!</v>
      </c>
      <c r="F583" s="637" t="e">
        <f>+VLOOKUP($D$9,#REF!,4,FALSE)</f>
        <v>#REF!</v>
      </c>
      <c r="G583" s="633" t="e">
        <f>+VLOOKUP($D$9,#REF!,5,FALSE)</f>
        <v>#REF!</v>
      </c>
      <c r="H583" s="636" t="e">
        <f>+VLOOKUP($D$9,#REF!,6,FALSE)</f>
        <v>#REF!</v>
      </c>
      <c r="I583" s="593" t="e">
        <f>+VLOOKUP($D$9,#REF!,7,FALSE)</f>
        <v>#REF!</v>
      </c>
      <c r="J583" s="594" t="e">
        <f>+VLOOKUP($D$9,#REF!,8,FALSE)</f>
        <v>#REF!</v>
      </c>
      <c r="K583" s="595" t="e">
        <f>+VLOOKUP($D$9,#REF!,9,FALSE)</f>
        <v>#REF!</v>
      </c>
      <c r="L583" s="664"/>
    </row>
    <row r="584" spans="1:12">
      <c r="A584" s="592" t="s">
        <v>677</v>
      </c>
      <c r="B584" s="183"/>
      <c r="C584" s="218"/>
      <c r="D584" s="593" t="e">
        <f>+VLOOKUP($D$9,#REF!,3,FALSE)</f>
        <v>#REF!</v>
      </c>
      <c r="E584" s="636">
        <v>0</v>
      </c>
      <c r="F584" s="637">
        <v>0</v>
      </c>
      <c r="G584" s="633" t="e">
        <f>#REF!</f>
        <v>#REF!</v>
      </c>
      <c r="H584" s="636" t="e">
        <f>+VLOOKUP($D$9,#REF!,7,FALSE)</f>
        <v>#REF!</v>
      </c>
      <c r="I584" s="593" t="e">
        <f>+VLOOKUP($D$9,#REF!,8,FALSE)</f>
        <v>#REF!</v>
      </c>
      <c r="J584" s="594" t="e">
        <f>+VLOOKUP($D$9,#REF!,9,FALSE)</f>
        <v>#REF!</v>
      </c>
      <c r="K584" s="595" t="e">
        <f>+VLOOKUP($D$9,#REF!,10,FALSE)</f>
        <v>#REF!</v>
      </c>
      <c r="L584" s="51"/>
    </row>
    <row r="585" spans="1:12">
      <c r="A585" s="592" t="s">
        <v>402</v>
      </c>
      <c r="B585" s="183"/>
      <c r="C585" s="218"/>
      <c r="D585" s="600" t="e">
        <f>#REF!</f>
        <v>#REF!</v>
      </c>
      <c r="E585" s="600" t="e">
        <f>#REF!</f>
        <v>#REF!</v>
      </c>
      <c r="F585" s="600" t="e">
        <f>#REF!</f>
        <v>#REF!</v>
      </c>
      <c r="G585" s="600" t="e">
        <f>#REF!</f>
        <v>#REF!</v>
      </c>
      <c r="H585" s="600" t="e">
        <f>#REF!</f>
        <v>#REF!</v>
      </c>
      <c r="I585" s="600" t="e">
        <f>#REF!</f>
        <v>#REF!</v>
      </c>
      <c r="J585" s="600" t="e">
        <f>#REF!</f>
        <v>#REF!</v>
      </c>
      <c r="K585" s="600" t="e">
        <f>#REF!</f>
        <v>#REF!</v>
      </c>
      <c r="L585" s="51"/>
    </row>
    <row r="586" spans="1:12">
      <c r="A586" s="592" t="s">
        <v>403</v>
      </c>
      <c r="B586" s="183"/>
      <c r="C586" s="218"/>
      <c r="D586" s="600" t="e">
        <f>#REF!</f>
        <v>#REF!</v>
      </c>
      <c r="E586" s="600" t="e">
        <f>#REF!</f>
        <v>#REF!</v>
      </c>
      <c r="F586" s="600" t="e">
        <f>#REF!</f>
        <v>#REF!</v>
      </c>
      <c r="G586" s="600" t="e">
        <f>#REF!</f>
        <v>#REF!</v>
      </c>
      <c r="H586" s="600" t="e">
        <f>#REF!</f>
        <v>#REF!</v>
      </c>
      <c r="I586" s="600" t="e">
        <f>#REF!</f>
        <v>#REF!</v>
      </c>
      <c r="J586" s="600" t="e">
        <f>#REF!</f>
        <v>#REF!</v>
      </c>
      <c r="K586" s="600" t="e">
        <f>#REF!</f>
        <v>#REF!</v>
      </c>
      <c r="L586" s="51"/>
    </row>
    <row r="587" spans="1:12">
      <c r="A587" s="592" t="s">
        <v>678</v>
      </c>
      <c r="B587" s="183"/>
      <c r="C587" s="218"/>
      <c r="D587" s="593" t="e">
        <f>+VLOOKUP($D$9,#REF!,3,FALSE)</f>
        <v>#REF!</v>
      </c>
      <c r="E587" s="594" t="e">
        <f>+VLOOKUP($D$9,#REF!,4,FALSE)</f>
        <v>#REF!</v>
      </c>
      <c r="F587" s="595" t="e">
        <f>+VLOOKUP($D$9,#REF!,5,FALSE)</f>
        <v>#REF!</v>
      </c>
      <c r="G587" s="593" t="e">
        <f>+VLOOKUP($D$9,#REF!,6,FALSE)</f>
        <v>#REF!</v>
      </c>
      <c r="H587" s="594" t="e">
        <f>+VLOOKUP($D$9,#REF!,7,FALSE)</f>
        <v>#REF!</v>
      </c>
      <c r="I587" s="593" t="e">
        <f>+VLOOKUP($D$9,#REF!,8,FALSE)</f>
        <v>#REF!</v>
      </c>
      <c r="J587" s="594" t="e">
        <f>+VLOOKUP($D$9,#REF!,9,FALSE)</f>
        <v>#REF!</v>
      </c>
      <c r="K587" s="595" t="e">
        <f>+VLOOKUP($D$9,#REF!,10,FALSE)</f>
        <v>#REF!</v>
      </c>
      <c r="L587" s="51"/>
    </row>
    <row r="588" spans="1:12">
      <c r="A588" s="592" t="s">
        <v>679</v>
      </c>
      <c r="B588" s="183"/>
      <c r="C588" s="218"/>
      <c r="D588" s="593" t="e">
        <f>+VLOOKUP($D$9,#REF!,3,FALSE)</f>
        <v>#REF!</v>
      </c>
      <c r="E588" s="594" t="e">
        <f>+VLOOKUP($D$9,#REF!,4,FALSE)</f>
        <v>#REF!</v>
      </c>
      <c r="F588" s="595" t="e">
        <f>+VLOOKUP($D$9,#REF!,5,FALSE)</f>
        <v>#REF!</v>
      </c>
      <c r="G588" s="593" t="e">
        <f>+VLOOKUP($D$9,#REF!,6,FALSE)</f>
        <v>#REF!</v>
      </c>
      <c r="H588" s="594" t="e">
        <f>+VLOOKUP($D$9,#REF!,7,FALSE)</f>
        <v>#REF!</v>
      </c>
      <c r="I588" s="593" t="e">
        <f>+VLOOKUP($D$9,#REF!,8,FALSE)</f>
        <v>#REF!</v>
      </c>
      <c r="J588" s="594" t="e">
        <f>+VLOOKUP($D$9,#REF!,9,FALSE)</f>
        <v>#REF!</v>
      </c>
      <c r="K588" s="595" t="e">
        <f>+VLOOKUP($D$9,#REF!,10,FALSE)</f>
        <v>#REF!</v>
      </c>
      <c r="L588" s="51"/>
    </row>
    <row r="589" spans="1:12">
      <c r="A589" s="592" t="s">
        <v>680</v>
      </c>
      <c r="B589" s="183"/>
      <c r="C589" s="218"/>
      <c r="D589" s="593" t="e">
        <f t="shared" ref="D589:F590" si="0">D583-D587</f>
        <v>#REF!</v>
      </c>
      <c r="E589" s="594" t="e">
        <f>ROUND(E583-E587,2)</f>
        <v>#REF!</v>
      </c>
      <c r="F589" s="595" t="e">
        <f t="shared" si="0"/>
        <v>#REF!</v>
      </c>
      <c r="G589" s="593" t="e">
        <f t="shared" ref="G589:K590" si="1">G583-G587</f>
        <v>#REF!</v>
      </c>
      <c r="H589" s="594" t="e">
        <f t="shared" si="1"/>
        <v>#REF!</v>
      </c>
      <c r="I589" s="593" t="e">
        <f t="shared" si="1"/>
        <v>#REF!</v>
      </c>
      <c r="J589" s="594" t="e">
        <f t="shared" si="1"/>
        <v>#REF!</v>
      </c>
      <c r="K589" s="595" t="e">
        <f t="shared" si="1"/>
        <v>#REF!</v>
      </c>
      <c r="L589" s="51"/>
    </row>
    <row r="590" spans="1:12">
      <c r="A590" s="1327" t="s">
        <v>121</v>
      </c>
      <c r="B590" s="1328"/>
      <c r="C590" s="1328"/>
      <c r="D590" s="593" t="e">
        <f t="shared" si="0"/>
        <v>#REF!</v>
      </c>
      <c r="E590" s="594" t="e">
        <f t="shared" si="0"/>
        <v>#REF!</v>
      </c>
      <c r="F590" s="595" t="e">
        <f t="shared" si="0"/>
        <v>#REF!</v>
      </c>
      <c r="G590" s="593" t="e">
        <f t="shared" si="1"/>
        <v>#REF!</v>
      </c>
      <c r="H590" s="594" t="e">
        <f t="shared" si="1"/>
        <v>#REF!</v>
      </c>
      <c r="I590" s="593" t="e">
        <f t="shared" si="1"/>
        <v>#REF!</v>
      </c>
      <c r="J590" s="594" t="e">
        <f t="shared" si="1"/>
        <v>#REF!</v>
      </c>
      <c r="K590" s="595" t="e">
        <f t="shared" si="1"/>
        <v>#REF!</v>
      </c>
      <c r="L590" s="51"/>
    </row>
    <row r="591" spans="1:12">
      <c r="A591" s="592" t="s">
        <v>757</v>
      </c>
      <c r="B591" s="183"/>
      <c r="C591" s="218"/>
      <c r="D591" s="216" t="s">
        <v>681</v>
      </c>
      <c r="E591" s="216" t="s">
        <v>681</v>
      </c>
      <c r="F591" s="216" t="s">
        <v>681</v>
      </c>
      <c r="G591" s="216" t="s">
        <v>681</v>
      </c>
      <c r="H591" s="216" t="s">
        <v>681</v>
      </c>
      <c r="I591" s="593" t="s">
        <v>681</v>
      </c>
      <c r="J591" s="593" t="s">
        <v>681</v>
      </c>
      <c r="K591" s="216" t="s">
        <v>681</v>
      </c>
      <c r="L591" s="51"/>
    </row>
    <row r="592" spans="1:12" ht="25.5">
      <c r="A592" s="592" t="s">
        <v>682</v>
      </c>
      <c r="B592" s="183"/>
      <c r="C592" s="218"/>
      <c r="D592" s="217" t="s">
        <v>683</v>
      </c>
      <c r="E592" s="217" t="s">
        <v>684</v>
      </c>
      <c r="F592" s="217" t="s">
        <v>685</v>
      </c>
      <c r="G592" s="217" t="s">
        <v>683</v>
      </c>
      <c r="H592" s="217" t="s">
        <v>684</v>
      </c>
      <c r="I592" s="217" t="s">
        <v>683</v>
      </c>
      <c r="J592" s="217" t="s">
        <v>684</v>
      </c>
      <c r="K592" s="217" t="s">
        <v>685</v>
      </c>
      <c r="L592" s="51"/>
    </row>
    <row r="593" spans="1:40">
      <c r="A593" s="592" t="s">
        <v>686</v>
      </c>
      <c r="B593" s="183"/>
      <c r="C593" s="218"/>
      <c r="D593" s="603" t="e">
        <f>#REF!</f>
        <v>#REF!</v>
      </c>
      <c r="E593" s="603" t="e">
        <f>#REF!</f>
        <v>#REF!</v>
      </c>
      <c r="F593" s="603" t="e">
        <f>#REF!</f>
        <v>#REF!</v>
      </c>
      <c r="G593" s="603" t="e">
        <f>#REF!</f>
        <v>#REF!</v>
      </c>
      <c r="H593" s="603" t="e">
        <f>#REF!</f>
        <v>#REF!</v>
      </c>
      <c r="I593" s="603" t="e">
        <f>#REF!</f>
        <v>#REF!</v>
      </c>
      <c r="J593" s="603" t="e">
        <f>#REF!</f>
        <v>#REF!</v>
      </c>
      <c r="K593" s="603" t="e">
        <f>#REF!</f>
        <v>#REF!</v>
      </c>
      <c r="L593" s="51"/>
    </row>
    <row r="594" spans="1:40">
      <c r="A594" s="592" t="s">
        <v>687</v>
      </c>
      <c r="B594" s="183"/>
      <c r="C594" s="218"/>
      <c r="D594" s="603" t="e">
        <f>+VLOOKUP(D578,#REF!,6,FALSE)</f>
        <v>#REF!</v>
      </c>
      <c r="E594" s="603" t="e">
        <f>+VLOOKUP(E578,#REF!,6,FALSE)</f>
        <v>#REF!</v>
      </c>
      <c r="F594" s="603" t="e">
        <f>+VLOOKUP(F578,#REF!,6,FALSE)</f>
        <v>#REF!</v>
      </c>
      <c r="G594" s="603" t="e">
        <f>+VLOOKUP(G578,#REF!,6,FALSE)</f>
        <v>#REF!</v>
      </c>
      <c r="H594" s="603" t="e">
        <f>+VLOOKUP(H578,#REF!,6,FALSE)</f>
        <v>#REF!</v>
      </c>
      <c r="I594" s="603" t="e">
        <f>+VLOOKUP(I578,#REF!,6,FALSE)</f>
        <v>#REF!</v>
      </c>
      <c r="J594" s="603" t="e">
        <f>+VLOOKUP(J578,#REF!,6,FALSE)</f>
        <v>#REF!</v>
      </c>
      <c r="K594" s="603" t="e">
        <f>+VLOOKUP(K578,#REF!,6,FALSE)</f>
        <v>#REF!</v>
      </c>
      <c r="L594" s="51"/>
    </row>
    <row r="595" spans="1:40">
      <c r="A595" s="592" t="s">
        <v>909</v>
      </c>
      <c r="B595" s="183"/>
      <c r="C595" s="218"/>
      <c r="D595" s="593" t="e">
        <f>+VLOOKUP(D578,#REF!,3,FALSE)</f>
        <v>#REF!</v>
      </c>
      <c r="E595" s="594" t="e">
        <f>+VLOOKUP(E578,#REF!,3,FALSE)</f>
        <v>#REF!</v>
      </c>
      <c r="F595" s="595" t="e">
        <f>+VLOOKUP(F578,#REF!,3,FALSE)</f>
        <v>#REF!</v>
      </c>
      <c r="G595" s="593" t="e">
        <f>+VLOOKUP(G578,#REF!,3,FALSE)</f>
        <v>#REF!</v>
      </c>
      <c r="H595" s="594" t="e">
        <f>+VLOOKUP(H578,#REF!,3,FALSE)</f>
        <v>#REF!</v>
      </c>
      <c r="I595" s="593" t="e">
        <f>+VLOOKUP(I578,#REF!,3,FALSE)</f>
        <v>#REF!</v>
      </c>
      <c r="J595" s="594" t="e">
        <f>+VLOOKUP(J578,#REF!,3,FALSE)</f>
        <v>#REF!</v>
      </c>
      <c r="K595" s="595" t="e">
        <f>+VLOOKUP(K578,#REF!,3,FALSE)</f>
        <v>#REF!</v>
      </c>
      <c r="L595" s="51"/>
    </row>
    <row r="596" spans="1:40">
      <c r="A596" s="307" t="s">
        <v>906</v>
      </c>
      <c r="B596" s="183"/>
      <c r="C596" s="218"/>
      <c r="D596" s="593" t="e">
        <f>+VLOOKUP(D578,#REF!,26,FALSE)</f>
        <v>#REF!</v>
      </c>
      <c r="E596" s="594" t="e">
        <f>+VLOOKUP(E578,#REF!,26,FALSE)</f>
        <v>#REF!</v>
      </c>
      <c r="F596" s="595" t="e">
        <f>+VLOOKUP(F578,#REF!,26,FALSE)</f>
        <v>#REF!</v>
      </c>
      <c r="G596" s="593" t="e">
        <f>+VLOOKUP(G578,#REF!,26,FALSE)</f>
        <v>#REF!</v>
      </c>
      <c r="H596" s="594" t="e">
        <f>+VLOOKUP(H578,#REF!,26,FALSE)</f>
        <v>#REF!</v>
      </c>
      <c r="I596" s="593" t="e">
        <f>+VLOOKUP(I578,#REF!,26,FALSE)</f>
        <v>#REF!</v>
      </c>
      <c r="J596" s="594" t="e">
        <f>+VLOOKUP(J578,#REF!,26,FALSE)</f>
        <v>#REF!</v>
      </c>
      <c r="K596" s="595" t="e">
        <f>+VLOOKUP(K578,#REF!,26,FALSE)</f>
        <v>#REF!</v>
      </c>
      <c r="L596" s="51"/>
    </row>
    <row r="597" spans="1:40">
      <c r="A597" s="592" t="s">
        <v>688</v>
      </c>
      <c r="B597" s="183"/>
      <c r="C597" s="218"/>
      <c r="D597" s="593" t="e">
        <f>D595-D596</f>
        <v>#REF!</v>
      </c>
      <c r="E597" s="594" t="e">
        <f>ROUND(E595-E596,1)</f>
        <v>#REF!</v>
      </c>
      <c r="F597" s="595" t="e">
        <f>F595-F596</f>
        <v>#REF!</v>
      </c>
      <c r="G597" s="593" t="e">
        <f>G595-G596</f>
        <v>#REF!</v>
      </c>
      <c r="H597" s="594" t="e">
        <f>H595-H596</f>
        <v>#REF!</v>
      </c>
      <c r="I597" s="593" t="e">
        <f>I595-I596</f>
        <v>#REF!</v>
      </c>
      <c r="J597" s="594" t="e">
        <f>ROUND(J595-J596,2)</f>
        <v>#REF!</v>
      </c>
      <c r="K597" s="595" t="e">
        <f>K595-K596</f>
        <v>#REF!</v>
      </c>
      <c r="L597" s="51"/>
    </row>
    <row r="598" spans="1:40">
      <c r="A598" s="592" t="s">
        <v>708</v>
      </c>
      <c r="B598" s="183"/>
      <c r="C598" s="218"/>
      <c r="D598" s="593" t="e">
        <f>+VLOOKUP(D578,#REF!,11,FALSE)</f>
        <v>#REF!</v>
      </c>
      <c r="E598" s="594" t="e">
        <f>+ROUND(VLOOKUP(E578,#REF!,11,FALSE),2)</f>
        <v>#REF!</v>
      </c>
      <c r="F598" s="595" t="e">
        <f>+VLOOKUP(F578,#REF!,11,FALSE)</f>
        <v>#REF!</v>
      </c>
      <c r="G598" s="593" t="e">
        <f>+VLOOKUP(G578,#REF!,11,FALSE)</f>
        <v>#REF!</v>
      </c>
      <c r="H598" s="594" t="e">
        <f>+VLOOKUP(H578,#REF!,11,FALSE)</f>
        <v>#REF!</v>
      </c>
      <c r="I598" s="593" t="e">
        <f>+VLOOKUP(I578,#REF!,11,FALSE)</f>
        <v>#REF!</v>
      </c>
      <c r="J598" s="594" t="e">
        <f>+ROUND(VLOOKUP(J578,#REF!,11,FALSE),2)</f>
        <v>#REF!</v>
      </c>
      <c r="K598" s="595" t="e">
        <f>+VLOOKUP(K578,#REF!,11,FALSE)</f>
        <v>#REF!</v>
      </c>
      <c r="L598" s="51"/>
    </row>
    <row r="599" spans="1:40">
      <c r="A599" s="592" t="s">
        <v>689</v>
      </c>
      <c r="B599" s="183"/>
      <c r="C599" s="218"/>
      <c r="D599" s="308">
        <v>0.88</v>
      </c>
      <c r="E599" s="308">
        <v>0.88</v>
      </c>
      <c r="F599" s="308">
        <v>0.88</v>
      </c>
      <c r="G599" s="308">
        <v>2.36</v>
      </c>
      <c r="H599" s="308">
        <v>2.36</v>
      </c>
      <c r="I599" s="308">
        <v>4.5999999999999996</v>
      </c>
      <c r="J599" s="308">
        <v>4.5999999999999996</v>
      </c>
      <c r="K599" s="308">
        <v>4.5999999999999996</v>
      </c>
      <c r="L599" s="51"/>
    </row>
    <row r="600" spans="1:40">
      <c r="A600" s="592" t="s">
        <v>690</v>
      </c>
      <c r="B600" s="183"/>
      <c r="C600" s="218"/>
      <c r="D600" s="605">
        <v>39772</v>
      </c>
      <c r="E600" s="605">
        <v>39772</v>
      </c>
      <c r="F600" s="605">
        <v>39772</v>
      </c>
      <c r="G600" s="605">
        <v>40410</v>
      </c>
      <c r="H600" s="605">
        <v>40410</v>
      </c>
      <c r="I600" s="605">
        <v>41049</v>
      </c>
      <c r="J600" s="605">
        <v>41049</v>
      </c>
      <c r="K600" s="606">
        <v>41049</v>
      </c>
      <c r="L600" s="51"/>
      <c r="M600" s="622"/>
      <c r="N600" s="622"/>
      <c r="O600" s="622"/>
      <c r="P600" s="623"/>
      <c r="Q600" s="622"/>
      <c r="R600" s="622"/>
      <c r="S600" s="622"/>
      <c r="T600" s="622"/>
      <c r="U600" s="622"/>
      <c r="V600" s="622"/>
      <c r="W600" s="622"/>
      <c r="X600" s="622"/>
      <c r="Y600" s="622"/>
      <c r="Z600" s="623"/>
      <c r="AA600" s="622"/>
      <c r="AB600" s="622"/>
      <c r="AC600" s="622"/>
      <c r="AD600" s="622"/>
      <c r="AE600" s="622"/>
      <c r="AF600" s="622"/>
      <c r="AG600" s="622"/>
      <c r="AH600" s="622"/>
      <c r="AI600" s="622"/>
      <c r="AJ600" s="622"/>
    </row>
    <row r="601" spans="1:40">
      <c r="A601" s="592" t="s">
        <v>691</v>
      </c>
      <c r="B601" s="183"/>
      <c r="C601" s="218"/>
      <c r="D601" s="606">
        <v>41049</v>
      </c>
      <c r="E601" s="606">
        <v>41049</v>
      </c>
      <c r="F601" s="606">
        <v>41049</v>
      </c>
      <c r="G601" s="606">
        <v>41049</v>
      </c>
      <c r="H601" s="606">
        <v>41049</v>
      </c>
      <c r="I601" s="606">
        <v>41049</v>
      </c>
      <c r="J601" s="606">
        <v>41049</v>
      </c>
      <c r="K601" s="606">
        <v>41049</v>
      </c>
      <c r="L601" s="51"/>
      <c r="M601" s="97"/>
      <c r="N601" s="97"/>
      <c r="O601" s="97"/>
      <c r="P601" s="97"/>
      <c r="Q601" s="97"/>
      <c r="R601" s="97"/>
      <c r="S601" s="97"/>
      <c r="T601" s="97"/>
      <c r="U601" s="97"/>
      <c r="V601" s="97"/>
      <c r="W601" s="97"/>
      <c r="X601" s="97"/>
      <c r="Y601" s="97"/>
      <c r="Z601" s="97"/>
      <c r="AA601" s="97"/>
      <c r="AB601" s="97"/>
      <c r="AC601" s="97"/>
      <c r="AD601" s="97"/>
      <c r="AE601" s="97"/>
      <c r="AF601" s="97"/>
      <c r="AG601" s="97"/>
      <c r="AH601" s="97"/>
      <c r="AI601" s="97"/>
      <c r="AJ601" s="97"/>
      <c r="AK601" s="96"/>
      <c r="AL601" s="96"/>
      <c r="AM601" s="96"/>
      <c r="AN601" s="96"/>
    </row>
    <row r="602" spans="1:40">
      <c r="A602" s="592" t="s">
        <v>692</v>
      </c>
      <c r="B602" s="183" t="s">
        <v>639</v>
      </c>
      <c r="C602" s="218"/>
      <c r="D602" s="606">
        <v>48446</v>
      </c>
      <c r="E602" s="606">
        <v>48446</v>
      </c>
      <c r="F602" s="606">
        <v>48446</v>
      </c>
      <c r="G602" s="606">
        <v>57304</v>
      </c>
      <c r="H602" s="606">
        <v>57304</v>
      </c>
      <c r="I602" s="606">
        <v>57304</v>
      </c>
      <c r="J602" s="606">
        <v>57304</v>
      </c>
      <c r="K602" s="606">
        <v>57304</v>
      </c>
      <c r="L602" s="51"/>
      <c r="M602" s="98"/>
      <c r="N602" s="98"/>
      <c r="O602" s="98"/>
      <c r="P602" s="98"/>
      <c r="Q602" s="98"/>
      <c r="R602" s="98"/>
      <c r="S602" s="98"/>
      <c r="T602" s="98"/>
      <c r="U602" s="98"/>
      <c r="V602" s="98"/>
      <c r="W602" s="98"/>
      <c r="X602" s="98"/>
      <c r="Y602" s="98"/>
      <c r="Z602" s="98"/>
      <c r="AA602" s="98"/>
      <c r="AB602" s="98"/>
      <c r="AC602" s="98"/>
      <c r="AD602" s="98"/>
      <c r="AE602" s="98"/>
      <c r="AF602" s="98"/>
      <c r="AG602" s="98"/>
      <c r="AH602" s="98"/>
      <c r="AI602" s="98"/>
      <c r="AJ602" s="98"/>
      <c r="AK602" s="96"/>
      <c r="AL602" s="96"/>
      <c r="AM602" s="96"/>
      <c r="AN602" s="96"/>
    </row>
    <row r="603" spans="1:40">
      <c r="A603" s="315"/>
      <c r="B603" s="183"/>
      <c r="C603" s="218"/>
      <c r="D603" s="183"/>
      <c r="E603" s="218"/>
      <c r="F603" s="35"/>
      <c r="G603" s="308"/>
      <c r="H603" s="323"/>
      <c r="I603" s="216"/>
      <c r="J603" s="308"/>
      <c r="K603" s="323"/>
      <c r="L603" s="51"/>
    </row>
    <row r="604" spans="1:40">
      <c r="A604" s="554" t="s">
        <v>639</v>
      </c>
      <c r="B604" s="183" t="s">
        <v>639</v>
      </c>
      <c r="C604" s="638"/>
      <c r="D604" s="183"/>
      <c r="E604" s="218"/>
      <c r="F604" s="35"/>
      <c r="G604" s="216"/>
      <c r="H604" s="216"/>
      <c r="I604" s="216"/>
      <c r="J604" s="216"/>
      <c r="K604" s="216"/>
      <c r="L604" s="51"/>
    </row>
    <row r="605" spans="1:40">
      <c r="A605" s="567"/>
      <c r="B605" s="183"/>
      <c r="C605" s="218"/>
      <c r="D605" s="35"/>
      <c r="E605" s="609">
        <v>15</v>
      </c>
      <c r="F605" s="609">
        <v>16</v>
      </c>
      <c r="G605" s="593"/>
      <c r="H605" s="594"/>
      <c r="I605" s="639"/>
      <c r="J605" s="593"/>
      <c r="K605" s="594"/>
      <c r="L605" s="51"/>
    </row>
    <row r="606" spans="1:40">
      <c r="A606" s="589"/>
      <c r="B606" s="183"/>
      <c r="C606" s="218"/>
      <c r="D606" s="578" t="s">
        <v>767</v>
      </c>
      <c r="E606" s="578" t="s">
        <v>768</v>
      </c>
      <c r="F606" s="578" t="s">
        <v>769</v>
      </c>
      <c r="G606" s="640" t="s">
        <v>770</v>
      </c>
      <c r="H606" s="641" t="s">
        <v>771</v>
      </c>
      <c r="I606" s="641" t="s">
        <v>772</v>
      </c>
      <c r="J606" s="642" t="s">
        <v>773</v>
      </c>
      <c r="K606" s="641" t="s">
        <v>774</v>
      </c>
      <c r="L606" s="614" t="s">
        <v>775</v>
      </c>
    </row>
    <row r="607" spans="1:40">
      <c r="A607" s="592" t="s">
        <v>408</v>
      </c>
      <c r="B607" s="183"/>
      <c r="C607" s="218"/>
      <c r="D607" s="323" t="s">
        <v>490</v>
      </c>
      <c r="E607" s="216" t="s">
        <v>631</v>
      </c>
      <c r="F607" s="308" t="s">
        <v>632</v>
      </c>
      <c r="G607" s="308" t="s">
        <v>491</v>
      </c>
      <c r="H607" s="323" t="s">
        <v>633</v>
      </c>
      <c r="I607" s="216" t="s">
        <v>634</v>
      </c>
      <c r="J607" s="308" t="s">
        <v>492</v>
      </c>
      <c r="K607" s="323" t="s">
        <v>635</v>
      </c>
      <c r="L607" s="327" t="s">
        <v>636</v>
      </c>
    </row>
    <row r="608" spans="1:40">
      <c r="A608" s="592" t="s">
        <v>416</v>
      </c>
      <c r="B608" s="615"/>
      <c r="C608" s="593"/>
      <c r="D608" s="216">
        <v>30312821</v>
      </c>
      <c r="E608" s="216">
        <v>30300009</v>
      </c>
      <c r="F608" s="308">
        <v>30300033</v>
      </c>
      <c r="G608" s="216">
        <v>30312848</v>
      </c>
      <c r="H608" s="216">
        <v>30300084</v>
      </c>
      <c r="I608" s="216">
        <v>30300122</v>
      </c>
      <c r="J608" s="216">
        <v>30312856</v>
      </c>
      <c r="K608" s="216">
        <v>30300190</v>
      </c>
      <c r="L608" s="327">
        <v>30300220</v>
      </c>
    </row>
    <row r="609" spans="1:12">
      <c r="A609" s="592" t="s">
        <v>675</v>
      </c>
      <c r="B609" s="183"/>
      <c r="C609" s="593"/>
      <c r="D609" s="593">
        <v>86000000</v>
      </c>
      <c r="E609" s="594">
        <v>140000000</v>
      </c>
      <c r="F609" s="595">
        <v>20000000</v>
      </c>
      <c r="G609" s="593">
        <v>65000000</v>
      </c>
      <c r="H609" s="594">
        <v>95100000</v>
      </c>
      <c r="I609" s="639">
        <v>40000000</v>
      </c>
      <c r="J609" s="593">
        <v>45000000</v>
      </c>
      <c r="K609" s="594">
        <v>190900000</v>
      </c>
      <c r="L609" s="643">
        <v>22000000</v>
      </c>
    </row>
    <row r="610" spans="1:12">
      <c r="A610" s="592" t="s">
        <v>676</v>
      </c>
      <c r="B610" s="183"/>
      <c r="C610" s="593"/>
      <c r="D610" s="594">
        <v>0</v>
      </c>
      <c r="E610" s="594" t="e">
        <f>#REF!</f>
        <v>#REF!</v>
      </c>
      <c r="F610" s="595" t="e">
        <f>#REF!</f>
        <v>#REF!</v>
      </c>
      <c r="G610" s="595">
        <v>0</v>
      </c>
      <c r="H610" s="594" t="e">
        <f>#REF!</f>
        <v>#REF!</v>
      </c>
      <c r="I610" s="594" t="e">
        <f>#REF!</f>
        <v>#REF!</v>
      </c>
      <c r="J610" s="635" t="e">
        <f>#REF!</f>
        <v>#REF!</v>
      </c>
      <c r="K610" s="594" t="e">
        <f>#REF!</f>
        <v>#REF!</v>
      </c>
      <c r="L610" s="643" t="e">
        <f>#REF!</f>
        <v>#REF!</v>
      </c>
    </row>
    <row r="611" spans="1:12">
      <c r="A611" s="592" t="s">
        <v>907</v>
      </c>
      <c r="B611" s="183"/>
      <c r="C611" s="593"/>
      <c r="D611" s="593" t="e">
        <f>+VLOOKUP($D$9,#REF!,10,FALSE)</f>
        <v>#REF!</v>
      </c>
      <c r="E611" s="594" t="e">
        <f>+VLOOKUP($D$9,#REF!,11,FALSE)</f>
        <v>#REF!</v>
      </c>
      <c r="F611" s="595" t="e">
        <f>+VLOOKUP($D$9,#REF!,12,FALSE)</f>
        <v>#REF!</v>
      </c>
      <c r="G611" s="593" t="e">
        <f>+VLOOKUP($D$9,#REF!,13,FALSE)</f>
        <v>#REF!</v>
      </c>
      <c r="H611" s="594" t="e">
        <f>+VLOOKUP($D$9,#REF!,14,FALSE)</f>
        <v>#REF!</v>
      </c>
      <c r="I611" s="639" t="e">
        <f>+VLOOKUP($D$9,#REF!,15,FALSE)</f>
        <v>#REF!</v>
      </c>
      <c r="J611" s="593" t="e">
        <f>+VLOOKUP($D$9,#REF!,16,FALSE)</f>
        <v>#REF!</v>
      </c>
      <c r="K611" s="594" t="e">
        <f>+VLOOKUP($D$9,#REF!,17,FALSE)</f>
        <v>#REF!</v>
      </c>
      <c r="L611" s="643" t="e">
        <f>+VLOOKUP($D$9,#REF!,18,FALSE)</f>
        <v>#REF!</v>
      </c>
    </row>
    <row r="612" spans="1:12">
      <c r="A612" s="592" t="s">
        <v>677</v>
      </c>
      <c r="B612" s="183"/>
      <c r="C612" s="593"/>
      <c r="D612" s="593" t="e">
        <f>+VLOOKUP($D$9,#REF!,11,FALSE)</f>
        <v>#REF!</v>
      </c>
      <c r="E612" s="594" t="e">
        <f>+VLOOKUP($D$9,#REF!,12,FALSE)</f>
        <v>#REF!</v>
      </c>
      <c r="F612" s="595" t="e">
        <f>+VLOOKUP($D$9,#REF!,13,FALSE)</f>
        <v>#REF!</v>
      </c>
      <c r="G612" s="593" t="e">
        <f>+VLOOKUP($D$9,#REF!,14,FALSE)</f>
        <v>#REF!</v>
      </c>
      <c r="H612" s="594" t="e">
        <f>+VLOOKUP($D$9,#REF!,15,FALSE)</f>
        <v>#REF!</v>
      </c>
      <c r="I612" s="639" t="e">
        <f>+VLOOKUP($D$9,#REF!,16,FALSE)</f>
        <v>#REF!</v>
      </c>
      <c r="J612" s="593" t="e">
        <f>+VLOOKUP($D$9,#REF!,17,FALSE)</f>
        <v>#REF!</v>
      </c>
      <c r="K612" s="594" t="e">
        <f>+VLOOKUP($D$9,#REF!,18,FALSE)</f>
        <v>#REF!</v>
      </c>
      <c r="L612" s="643" t="e">
        <f>+VLOOKUP($D$9,#REF!,19,FALSE)</f>
        <v>#REF!</v>
      </c>
    </row>
    <row r="613" spans="1:12">
      <c r="A613" s="592" t="s">
        <v>402</v>
      </c>
      <c r="B613" s="183"/>
      <c r="C613" s="644"/>
      <c r="D613" s="600" t="e">
        <f>#REF!</f>
        <v>#REF!</v>
      </c>
      <c r="E613" s="600" t="e">
        <f>#REF!</f>
        <v>#REF!</v>
      </c>
      <c r="F613" s="600" t="e">
        <f>#REF!</f>
        <v>#REF!</v>
      </c>
      <c r="G613" s="600" t="e">
        <f>#REF!</f>
        <v>#REF!</v>
      </c>
      <c r="H613" s="600" t="e">
        <f>#REF!</f>
        <v>#REF!</v>
      </c>
      <c r="I613" s="600" t="e">
        <f>#REF!</f>
        <v>#REF!</v>
      </c>
      <c r="J613" s="600" t="e">
        <f>#REF!</f>
        <v>#REF!</v>
      </c>
      <c r="K613" s="600" t="e">
        <f>#REF!</f>
        <v>#REF!</v>
      </c>
      <c r="L613" s="618" t="e">
        <f>#REF!</f>
        <v>#REF!</v>
      </c>
    </row>
    <row r="614" spans="1:12">
      <c r="A614" s="592" t="s">
        <v>403</v>
      </c>
      <c r="B614" s="183"/>
      <c r="C614" s="218"/>
      <c r="D614" s="600" t="e">
        <f>#REF!</f>
        <v>#REF!</v>
      </c>
      <c r="E614" s="600" t="e">
        <f>#REF!</f>
        <v>#REF!</v>
      </c>
      <c r="F614" s="600" t="e">
        <f>#REF!</f>
        <v>#REF!</v>
      </c>
      <c r="G614" s="600" t="e">
        <f>#REF!</f>
        <v>#REF!</v>
      </c>
      <c r="H614" s="600" t="e">
        <f>#REF!</f>
        <v>#REF!</v>
      </c>
      <c r="I614" s="600" t="e">
        <f>#REF!</f>
        <v>#REF!</v>
      </c>
      <c r="J614" s="600" t="e">
        <f>#REF!</f>
        <v>#REF!</v>
      </c>
      <c r="K614" s="600" t="e">
        <f>#REF!</f>
        <v>#REF!</v>
      </c>
      <c r="L614" s="618" t="e">
        <f>#REF!</f>
        <v>#REF!</v>
      </c>
    </row>
    <row r="615" spans="1:12">
      <c r="A615" s="592" t="s">
        <v>678</v>
      </c>
      <c r="B615" s="183"/>
      <c r="C615" s="218"/>
      <c r="D615" s="593" t="e">
        <f>+VLOOKUP($D$9,#REF!,11,FALSE)</f>
        <v>#REF!</v>
      </c>
      <c r="E615" s="594" t="e">
        <f>+VLOOKUP($D$9,#REF!,12,FALSE)</f>
        <v>#REF!</v>
      </c>
      <c r="F615" s="595" t="e">
        <f>+VLOOKUP($D$9,#REF!,13,FALSE)</f>
        <v>#REF!</v>
      </c>
      <c r="G615" s="593" t="e">
        <f>+VLOOKUP($D$9,#REF!,14,FALSE)</f>
        <v>#REF!</v>
      </c>
      <c r="H615" s="594" t="e">
        <f>+VLOOKUP($D$9,#REF!,15,FALSE)</f>
        <v>#REF!</v>
      </c>
      <c r="I615" s="639" t="e">
        <f>+VLOOKUP($D$9,#REF!,16,FALSE)</f>
        <v>#REF!</v>
      </c>
      <c r="J615" s="593" t="e">
        <f>+VLOOKUP($D$9,#REF!,17,FALSE)</f>
        <v>#REF!</v>
      </c>
      <c r="K615" s="594" t="e">
        <f>+VLOOKUP($D$9,#REF!,18,FALSE)</f>
        <v>#REF!</v>
      </c>
      <c r="L615" s="643" t="e">
        <f>+VLOOKUP($D$9,#REF!,19,FALSE)</f>
        <v>#REF!</v>
      </c>
    </row>
    <row r="616" spans="1:12">
      <c r="A616" s="592" t="s">
        <v>679</v>
      </c>
      <c r="B616" s="183"/>
      <c r="C616" s="218"/>
      <c r="D616" s="593" t="e">
        <f>+VLOOKUP($D$9,#REF!,11,FALSE)</f>
        <v>#REF!</v>
      </c>
      <c r="E616" s="594" t="e">
        <f>+VLOOKUP($D$9,#REF!,12,FALSE)</f>
        <v>#REF!</v>
      </c>
      <c r="F616" s="595" t="e">
        <f>+VLOOKUP($D$9,#REF!,13,FALSE)</f>
        <v>#REF!</v>
      </c>
      <c r="G616" s="593" t="e">
        <f>+VLOOKUP($D$9,#REF!,14,FALSE)</f>
        <v>#REF!</v>
      </c>
      <c r="H616" s="594" t="e">
        <f>+VLOOKUP($D$9,#REF!,15,FALSE)</f>
        <v>#REF!</v>
      </c>
      <c r="I616" s="639" t="e">
        <f>+VLOOKUP($D$9,#REF!,16,FALSE)</f>
        <v>#REF!</v>
      </c>
      <c r="J616" s="593" t="e">
        <f>+VLOOKUP($D$9,#REF!,17,FALSE)</f>
        <v>#REF!</v>
      </c>
      <c r="K616" s="594" t="e">
        <f>+VLOOKUP($D$9,#REF!,18,FALSE)</f>
        <v>#REF!</v>
      </c>
      <c r="L616" s="643" t="e">
        <f>+VLOOKUP($D$9,#REF!,19,FALSE)</f>
        <v>#REF!</v>
      </c>
    </row>
    <row r="617" spans="1:12">
      <c r="A617" s="592" t="s">
        <v>680</v>
      </c>
      <c r="B617" s="183"/>
      <c r="C617" s="218"/>
      <c r="D617" s="593" t="e">
        <f t="shared" ref="D617:F618" si="2">D611-D615</f>
        <v>#REF!</v>
      </c>
      <c r="E617" s="594" t="e">
        <f>E611-E615</f>
        <v>#REF!</v>
      </c>
      <c r="F617" s="595" t="e">
        <f t="shared" si="2"/>
        <v>#REF!</v>
      </c>
      <c r="G617" s="593" t="e">
        <f t="shared" ref="G617:L617" si="3">G611-G615</f>
        <v>#REF!</v>
      </c>
      <c r="H617" s="594" t="e">
        <f t="shared" si="3"/>
        <v>#REF!</v>
      </c>
      <c r="I617" s="639" t="e">
        <f t="shared" si="3"/>
        <v>#REF!</v>
      </c>
      <c r="J617" s="593" t="e">
        <f t="shared" si="3"/>
        <v>#REF!</v>
      </c>
      <c r="K617" s="594" t="e">
        <f t="shared" si="3"/>
        <v>#REF!</v>
      </c>
      <c r="L617" s="643" t="e">
        <f t="shared" si="3"/>
        <v>#REF!</v>
      </c>
    </row>
    <row r="618" spans="1:12">
      <c r="A618" s="1327" t="s">
        <v>121</v>
      </c>
      <c r="B618" s="1328"/>
      <c r="C618" s="1328"/>
      <c r="D618" s="593" t="e">
        <f t="shared" si="2"/>
        <v>#REF!</v>
      </c>
      <c r="E618" s="594">
        <v>0</v>
      </c>
      <c r="F618" s="595">
        <v>0</v>
      </c>
      <c r="G618" s="593" t="e">
        <f>G612-G616</f>
        <v>#REF!</v>
      </c>
      <c r="H618" s="594">
        <v>0</v>
      </c>
      <c r="I618" s="639">
        <v>0</v>
      </c>
      <c r="J618" s="593">
        <v>0</v>
      </c>
      <c r="K618" s="594">
        <v>0</v>
      </c>
      <c r="L618" s="643">
        <v>0</v>
      </c>
    </row>
    <row r="619" spans="1:12">
      <c r="A619" s="592" t="s">
        <v>757</v>
      </c>
      <c r="B619" s="183"/>
      <c r="C619" s="218"/>
      <c r="D619" s="216" t="s">
        <v>705</v>
      </c>
      <c r="E619" s="216" t="s">
        <v>705</v>
      </c>
      <c r="F619" s="216" t="s">
        <v>705</v>
      </c>
      <c r="G619" s="216" t="s">
        <v>706</v>
      </c>
      <c r="H619" s="216" t="s">
        <v>706</v>
      </c>
      <c r="I619" s="216" t="s">
        <v>706</v>
      </c>
      <c r="J619" s="216" t="s">
        <v>707</v>
      </c>
      <c r="K619" s="216" t="s">
        <v>707</v>
      </c>
      <c r="L619" s="327" t="s">
        <v>707</v>
      </c>
    </row>
    <row r="620" spans="1:12">
      <c r="A620" s="592" t="s">
        <v>682</v>
      </c>
      <c r="B620" s="183"/>
      <c r="C620" s="218"/>
      <c r="D620" s="217" t="s">
        <v>683</v>
      </c>
      <c r="E620" s="217" t="s">
        <v>684</v>
      </c>
      <c r="F620" s="217" t="s">
        <v>685</v>
      </c>
      <c r="G620" s="217" t="s">
        <v>683</v>
      </c>
      <c r="H620" s="217" t="s">
        <v>684</v>
      </c>
      <c r="I620" s="217" t="s">
        <v>685</v>
      </c>
      <c r="J620" s="217" t="s">
        <v>683</v>
      </c>
      <c r="K620" s="217" t="s">
        <v>684</v>
      </c>
      <c r="L620" s="620" t="s">
        <v>685</v>
      </c>
    </row>
    <row r="621" spans="1:12">
      <c r="A621" s="592" t="s">
        <v>686</v>
      </c>
      <c r="B621" s="183"/>
      <c r="C621" s="218"/>
      <c r="D621" s="603" t="e">
        <f>#REF!</f>
        <v>#REF!</v>
      </c>
      <c r="E621" s="603" t="e">
        <f>#REF!</f>
        <v>#REF!</v>
      </c>
      <c r="F621" s="603" t="e">
        <f>#REF!</f>
        <v>#REF!</v>
      </c>
      <c r="G621" s="603" t="e">
        <f>#REF!</f>
        <v>#REF!</v>
      </c>
      <c r="H621" s="603" t="e">
        <f>#REF!</f>
        <v>#REF!</v>
      </c>
      <c r="I621" s="603" t="e">
        <f>#REF!</f>
        <v>#REF!</v>
      </c>
      <c r="J621" s="603" t="e">
        <f>#REF!</f>
        <v>#REF!</v>
      </c>
      <c r="K621" s="603" t="e">
        <f>#REF!</f>
        <v>#REF!</v>
      </c>
      <c r="L621" s="621" t="e">
        <f>#REF!</f>
        <v>#REF!</v>
      </c>
    </row>
    <row r="622" spans="1:12">
      <c r="A622" s="592" t="s">
        <v>687</v>
      </c>
      <c r="B622" s="183"/>
      <c r="C622" s="218"/>
      <c r="D622" s="603" t="e">
        <f>+VLOOKUP(D606,#REF!,6,FALSE)</f>
        <v>#REF!</v>
      </c>
      <c r="E622" s="603" t="e">
        <f>+VLOOKUP(E606,#REF!,6,FALSE)</f>
        <v>#REF!</v>
      </c>
      <c r="F622" s="603" t="e">
        <f>+VLOOKUP(F606,#REF!,6,FALSE)</f>
        <v>#REF!</v>
      </c>
      <c r="G622" s="603" t="e">
        <f>+VLOOKUP(G606,#REF!,6,FALSE)</f>
        <v>#REF!</v>
      </c>
      <c r="H622" s="603" t="e">
        <f>+VLOOKUP(H606,#REF!,6,FALSE)</f>
        <v>#REF!</v>
      </c>
      <c r="I622" s="603" t="e">
        <f>+VLOOKUP(I606,#REF!,6,FALSE)</f>
        <v>#REF!</v>
      </c>
      <c r="J622" s="603" t="e">
        <f>+VLOOKUP(J606,#REF!,6,FALSE)</f>
        <v>#REF!</v>
      </c>
      <c r="K622" s="603" t="e">
        <f>+VLOOKUP(K606,#REF!,6,FALSE)</f>
        <v>#REF!</v>
      </c>
      <c r="L622" s="621" t="e">
        <f>+VLOOKUP(L606,#REF!,6,FALSE)</f>
        <v>#REF!</v>
      </c>
    </row>
    <row r="623" spans="1:12">
      <c r="A623" s="592" t="s">
        <v>909</v>
      </c>
      <c r="B623" s="183"/>
      <c r="C623" s="218"/>
      <c r="D623" s="593" t="e">
        <f>+VLOOKUP(D606,#REF!,3,FALSE)</f>
        <v>#REF!</v>
      </c>
      <c r="E623" s="594" t="e">
        <f>+VLOOKUP(E606,#REF!,3,FALSE)</f>
        <v>#REF!</v>
      </c>
      <c r="F623" s="595" t="e">
        <f>+VLOOKUP(F606,#REF!,3,FALSE)</f>
        <v>#REF!</v>
      </c>
      <c r="G623" s="593" t="e">
        <f>+VLOOKUP(G606,#REF!,3,FALSE)</f>
        <v>#REF!</v>
      </c>
      <c r="H623" s="594" t="e">
        <f>+VLOOKUP(H606,#REF!,3,FALSE)</f>
        <v>#REF!</v>
      </c>
      <c r="I623" s="639" t="e">
        <f>+VLOOKUP(I606,#REF!,3,FALSE)</f>
        <v>#REF!</v>
      </c>
      <c r="J623" s="593" t="e">
        <f>+VLOOKUP(J606,#REF!,3,FALSE)</f>
        <v>#REF!</v>
      </c>
      <c r="K623" s="594" t="e">
        <f>+VLOOKUP(K606,#REF!,3,FALSE)</f>
        <v>#REF!</v>
      </c>
      <c r="L623" s="643" t="e">
        <f>+VLOOKUP(L606,#REF!,3,FALSE)</f>
        <v>#REF!</v>
      </c>
    </row>
    <row r="624" spans="1:12">
      <c r="A624" s="307" t="s">
        <v>906</v>
      </c>
      <c r="B624" s="183"/>
      <c r="C624" s="218"/>
      <c r="D624" s="593" t="e">
        <f>+VLOOKUP(D606,#REF!,26,FALSE)</f>
        <v>#REF!</v>
      </c>
      <c r="E624" s="594" t="e">
        <f>+VLOOKUP(E606,#REF!,26,FALSE)</f>
        <v>#REF!</v>
      </c>
      <c r="F624" s="595" t="e">
        <f>+VLOOKUP(F606,#REF!,26,FALSE)</f>
        <v>#REF!</v>
      </c>
      <c r="G624" s="593" t="e">
        <f>+VLOOKUP(G606,#REF!,26,FALSE)</f>
        <v>#REF!</v>
      </c>
      <c r="H624" s="594" t="e">
        <f>+VLOOKUP(H606,#REF!,26,FALSE)</f>
        <v>#REF!</v>
      </c>
      <c r="I624" s="639" t="e">
        <f>+VLOOKUP(I606,#REF!,26,FALSE)</f>
        <v>#REF!</v>
      </c>
      <c r="J624" s="593" t="e">
        <f>+VLOOKUP(J606,#REF!,26,FALSE)</f>
        <v>#REF!</v>
      </c>
      <c r="K624" s="594" t="e">
        <f>+VLOOKUP(K606,#REF!,26,FALSE)</f>
        <v>#REF!</v>
      </c>
      <c r="L624" s="643" t="e">
        <f>+VLOOKUP(L606,#REF!,26,FALSE)</f>
        <v>#REF!</v>
      </c>
    </row>
    <row r="625" spans="1:40">
      <c r="A625" s="592" t="s">
        <v>688</v>
      </c>
      <c r="B625" s="183"/>
      <c r="C625" s="218"/>
      <c r="D625" s="593" t="e">
        <f>D623-D624</f>
        <v>#REF!</v>
      </c>
      <c r="E625" s="594" t="e">
        <f>E623-E624</f>
        <v>#REF!</v>
      </c>
      <c r="F625" s="595" t="e">
        <f>F623-F624</f>
        <v>#REF!</v>
      </c>
      <c r="G625" s="593" t="e">
        <f>G623-G624</f>
        <v>#REF!</v>
      </c>
      <c r="H625" s="594" t="e">
        <f>H623-H624</f>
        <v>#REF!</v>
      </c>
      <c r="I625" s="639" t="e">
        <f>ROUND(I623-I624,2)</f>
        <v>#REF!</v>
      </c>
      <c r="J625" s="593" t="e">
        <f>J623-J624</f>
        <v>#REF!</v>
      </c>
      <c r="K625" s="594" t="e">
        <f>ROUND(K623-K624,2)</f>
        <v>#REF!</v>
      </c>
      <c r="L625" s="643" t="e">
        <f>ROUND(L623-L624,2)</f>
        <v>#REF!</v>
      </c>
    </row>
    <row r="626" spans="1:40">
      <c r="A626" s="592" t="s">
        <v>708</v>
      </c>
      <c r="B626" s="183"/>
      <c r="C626" s="218"/>
      <c r="D626" s="593" t="e">
        <f>+VLOOKUP(D606,#REF!,11,FALSE)</f>
        <v>#REF!</v>
      </c>
      <c r="E626" s="594" t="e">
        <f>+VLOOKUP(E606,#REF!,11,FALSE)</f>
        <v>#REF!</v>
      </c>
      <c r="F626" s="595" t="e">
        <f>+VLOOKUP(F606,#REF!,11,FALSE)</f>
        <v>#REF!</v>
      </c>
      <c r="G626" s="593" t="e">
        <f>+VLOOKUP(G606,#REF!,11,FALSE)</f>
        <v>#REF!</v>
      </c>
      <c r="H626" s="594" t="e">
        <f>+ROUND(VLOOKUP(H606,#REF!,11,FALSE),2)</f>
        <v>#REF!</v>
      </c>
      <c r="I626" s="639" t="e">
        <f>+ROUND(VLOOKUP(I606,#REF!,11,FALSE),2)</f>
        <v>#REF!</v>
      </c>
      <c r="J626" s="593" t="e">
        <f>+VLOOKUP(J606,#REF!,11,FALSE)</f>
        <v>#REF!</v>
      </c>
      <c r="K626" s="594" t="e">
        <f>+VLOOKUP(K606,#REF!,11,FALSE)</f>
        <v>#REF!</v>
      </c>
      <c r="L626" s="643" t="e">
        <f>+ROUND(VLOOKUP(L606,#REF!,11,FALSE),2)</f>
        <v>#REF!</v>
      </c>
    </row>
    <row r="627" spans="1:40">
      <c r="A627" s="592" t="s">
        <v>689</v>
      </c>
      <c r="B627" s="183"/>
      <c r="C627" s="218"/>
      <c r="D627" s="308">
        <v>1.63</v>
      </c>
      <c r="E627" s="308">
        <v>2.72</v>
      </c>
      <c r="F627" s="308">
        <v>2.72</v>
      </c>
      <c r="G627" s="308">
        <v>1.63</v>
      </c>
      <c r="H627" s="308">
        <v>2.72</v>
      </c>
      <c r="I627" s="308">
        <v>2.72</v>
      </c>
      <c r="J627" s="308">
        <v>2.72</v>
      </c>
      <c r="K627" s="308">
        <v>2.72</v>
      </c>
      <c r="L627" s="326">
        <v>2.72</v>
      </c>
      <c r="M627" s="622"/>
      <c r="N627" s="622"/>
      <c r="O627" s="622"/>
      <c r="P627" s="623"/>
      <c r="Q627" s="622"/>
      <c r="R627" s="622"/>
      <c r="S627" s="622"/>
      <c r="T627" s="622"/>
      <c r="U627" s="622"/>
      <c r="V627" s="622"/>
      <c r="W627" s="622"/>
      <c r="X627" s="622"/>
      <c r="Y627" s="622"/>
      <c r="Z627" s="623"/>
      <c r="AA627" s="622"/>
      <c r="AB627" s="622"/>
      <c r="AC627" s="622"/>
      <c r="AD627" s="622"/>
      <c r="AE627" s="622"/>
      <c r="AF627" s="622"/>
      <c r="AG627" s="622"/>
      <c r="AH627" s="622"/>
      <c r="AI627" s="622"/>
      <c r="AJ627" s="622"/>
    </row>
    <row r="628" spans="1:40">
      <c r="A628" s="592" t="s">
        <v>690</v>
      </c>
      <c r="B628" s="183"/>
      <c r="C628" s="218"/>
      <c r="D628" s="605">
        <v>39864</v>
      </c>
      <c r="E628" s="605">
        <v>40229</v>
      </c>
      <c r="F628" s="605">
        <v>40229</v>
      </c>
      <c r="G628" s="605">
        <v>39864</v>
      </c>
      <c r="H628" s="605">
        <v>40229</v>
      </c>
      <c r="I628" s="605">
        <v>40229</v>
      </c>
      <c r="J628" s="605">
        <v>39864</v>
      </c>
      <c r="K628" s="605">
        <v>40229</v>
      </c>
      <c r="L628" s="645">
        <v>40229</v>
      </c>
      <c r="M628" s="97"/>
      <c r="N628" s="97"/>
      <c r="O628" s="97"/>
      <c r="P628" s="97"/>
      <c r="Q628" s="97"/>
      <c r="R628" s="97"/>
      <c r="S628" s="97"/>
      <c r="T628" s="97"/>
      <c r="U628" s="97"/>
      <c r="V628" s="97"/>
      <c r="W628" s="97"/>
      <c r="X628" s="97"/>
      <c r="Y628" s="97"/>
      <c r="Z628" s="97"/>
      <c r="AA628" s="97"/>
      <c r="AB628" s="97"/>
      <c r="AC628" s="97"/>
      <c r="AD628" s="97"/>
      <c r="AE628" s="97"/>
      <c r="AF628" s="97"/>
      <c r="AG628" s="97"/>
      <c r="AH628" s="97"/>
      <c r="AI628" s="97"/>
      <c r="AJ628" s="97"/>
      <c r="AK628" s="96"/>
      <c r="AL628" s="96"/>
      <c r="AM628" s="96"/>
      <c r="AN628" s="96"/>
    </row>
    <row r="629" spans="1:40">
      <c r="A629" s="592" t="s">
        <v>691</v>
      </c>
      <c r="B629" s="183"/>
      <c r="C629" s="218"/>
      <c r="D629" s="606">
        <v>40229</v>
      </c>
      <c r="E629" s="606">
        <v>40229</v>
      </c>
      <c r="F629" s="606">
        <v>40229</v>
      </c>
      <c r="G629" s="606">
        <v>40229</v>
      </c>
      <c r="H629" s="606">
        <v>40229</v>
      </c>
      <c r="I629" s="606">
        <v>40229</v>
      </c>
      <c r="J629" s="606">
        <v>40229</v>
      </c>
      <c r="K629" s="606">
        <v>40229</v>
      </c>
      <c r="L629" s="610">
        <v>40229</v>
      </c>
      <c r="M629" s="98"/>
      <c r="N629" s="98"/>
      <c r="O629" s="98"/>
      <c r="P629" s="98"/>
      <c r="Q629" s="98"/>
      <c r="R629" s="98"/>
      <c r="S629" s="98"/>
      <c r="T629" s="98"/>
      <c r="U629" s="98"/>
      <c r="V629" s="98"/>
      <c r="W629" s="98"/>
      <c r="X629" s="98"/>
      <c r="Y629" s="98"/>
      <c r="Z629" s="98"/>
      <c r="AA629" s="98"/>
      <c r="AB629" s="98"/>
      <c r="AC629" s="98"/>
      <c r="AD629" s="98"/>
      <c r="AE629" s="98"/>
      <c r="AF629" s="98"/>
      <c r="AG629" s="98"/>
      <c r="AH629" s="98"/>
      <c r="AI629" s="98"/>
      <c r="AJ629" s="98"/>
      <c r="AK629" s="96"/>
      <c r="AL629" s="96"/>
      <c r="AM629" s="96"/>
      <c r="AN629" s="96"/>
    </row>
    <row r="630" spans="1:40">
      <c r="A630" s="592" t="s">
        <v>692</v>
      </c>
      <c r="B630" s="183" t="s">
        <v>639</v>
      </c>
      <c r="C630" s="218"/>
      <c r="D630" s="606">
        <v>57304</v>
      </c>
      <c r="E630" s="606">
        <v>57304</v>
      </c>
      <c r="F630" s="606">
        <v>57304</v>
      </c>
      <c r="G630" s="606">
        <v>57304</v>
      </c>
      <c r="H630" s="606">
        <v>57304</v>
      </c>
      <c r="I630" s="606">
        <v>57304</v>
      </c>
      <c r="J630" s="606">
        <v>57304</v>
      </c>
      <c r="K630" s="606">
        <v>57304</v>
      </c>
      <c r="L630" s="610">
        <v>57304</v>
      </c>
    </row>
    <row r="631" spans="1:40">
      <c r="A631" s="309"/>
      <c r="B631" s="310"/>
      <c r="C631" s="646"/>
      <c r="D631" s="310"/>
      <c r="E631" s="311"/>
      <c r="F631" s="67"/>
      <c r="G631" s="624"/>
      <c r="H631" s="67"/>
      <c r="I631" s="67"/>
      <c r="J631" s="67"/>
      <c r="K631" s="67"/>
      <c r="L631" s="53"/>
    </row>
    <row r="632" spans="1:40">
      <c r="A632" s="90"/>
      <c r="C632" s="626"/>
      <c r="G632" s="595"/>
      <c r="H632" s="35"/>
      <c r="I632" s="35"/>
      <c r="J632" s="35"/>
      <c r="K632" s="35"/>
    </row>
    <row r="633" spans="1:40" ht="15.75" hidden="1">
      <c r="A633" s="699" t="s">
        <v>577</v>
      </c>
      <c r="B633" s="700"/>
      <c r="C633" s="701"/>
      <c r="D633" s="702" t="s">
        <v>531</v>
      </c>
      <c r="E633" s="702" t="s">
        <v>532</v>
      </c>
      <c r="F633" s="702" t="s">
        <v>533</v>
      </c>
      <c r="G633" s="703" t="s">
        <v>534</v>
      </c>
      <c r="H633" s="704"/>
      <c r="I633" s="704"/>
      <c r="J633" s="704"/>
      <c r="K633" s="704"/>
      <c r="L633" s="705"/>
    </row>
    <row r="634" spans="1:40" hidden="1">
      <c r="A634" s="706" t="s">
        <v>408</v>
      </c>
      <c r="B634" s="689"/>
      <c r="C634" s="691"/>
      <c r="D634" s="707" t="s">
        <v>578</v>
      </c>
      <c r="E634" s="707" t="s">
        <v>579</v>
      </c>
      <c r="F634" s="707" t="s">
        <v>580</v>
      </c>
      <c r="G634" s="708" t="s">
        <v>584</v>
      </c>
      <c r="H634" s="692"/>
      <c r="I634" s="692"/>
      <c r="J634" s="692"/>
      <c r="K634" s="692"/>
      <c r="L634" s="709"/>
    </row>
    <row r="635" spans="1:40" hidden="1">
      <c r="A635" s="706" t="s">
        <v>416</v>
      </c>
      <c r="B635" s="710"/>
      <c r="C635" s="711"/>
      <c r="D635" s="712">
        <v>42610895</v>
      </c>
      <c r="E635" s="712">
        <v>426113.1</v>
      </c>
      <c r="F635" s="712">
        <v>42611573</v>
      </c>
      <c r="G635" s="712">
        <v>42611689</v>
      </c>
      <c r="H635" s="692"/>
      <c r="I635" s="692"/>
      <c r="J635" s="692"/>
      <c r="K635" s="692"/>
      <c r="L635" s="709"/>
    </row>
    <row r="636" spans="1:40" hidden="1">
      <c r="A636" s="706" t="s">
        <v>675</v>
      </c>
      <c r="B636" s="689"/>
      <c r="C636" s="711"/>
      <c r="D636" s="708">
        <v>10285000000</v>
      </c>
      <c r="E636" s="708">
        <v>781200000</v>
      </c>
      <c r="F636" s="708">
        <v>439200000</v>
      </c>
      <c r="G636" s="708">
        <v>548450000</v>
      </c>
      <c r="H636" s="692"/>
      <c r="I636" s="692"/>
      <c r="J636" s="692"/>
      <c r="K636" s="692"/>
      <c r="L636" s="709"/>
    </row>
    <row r="637" spans="1:40" hidden="1">
      <c r="A637" s="706" t="s">
        <v>676</v>
      </c>
      <c r="B637" s="689"/>
      <c r="C637" s="711"/>
      <c r="D637" s="708" t="e">
        <f>#REF!</f>
        <v>#REF!</v>
      </c>
      <c r="E637" s="708" t="e">
        <f>#REF!</f>
        <v>#REF!</v>
      </c>
      <c r="F637" s="708" t="e">
        <f>#REF!</f>
        <v>#REF!</v>
      </c>
      <c r="G637" s="708" t="e">
        <f>#REF!</f>
        <v>#REF!</v>
      </c>
      <c r="H637" s="692"/>
      <c r="I637" s="692"/>
      <c r="J637" s="692"/>
      <c r="K637" s="692"/>
      <c r="L637" s="709"/>
    </row>
    <row r="638" spans="1:40" hidden="1">
      <c r="A638" s="706" t="s">
        <v>1048</v>
      </c>
      <c r="B638" s="689"/>
      <c r="C638" s="711"/>
      <c r="D638" s="708">
        <v>10285000000</v>
      </c>
      <c r="E638" s="708">
        <v>781200000</v>
      </c>
      <c r="F638" s="708">
        <v>439200000</v>
      </c>
      <c r="G638" s="708">
        <v>548450000</v>
      </c>
      <c r="H638" s="692"/>
      <c r="I638" s="692"/>
      <c r="J638" s="692"/>
      <c r="K638" s="692"/>
      <c r="L638" s="709"/>
    </row>
    <row r="639" spans="1:40" hidden="1">
      <c r="A639" s="706" t="s">
        <v>677</v>
      </c>
      <c r="B639" s="689"/>
      <c r="C639" s="711"/>
      <c r="D639" s="708">
        <v>0</v>
      </c>
      <c r="E639" s="708">
        <v>0</v>
      </c>
      <c r="F639" s="708">
        <v>0</v>
      </c>
      <c r="G639" s="708">
        <v>0</v>
      </c>
      <c r="H639" s="692"/>
      <c r="I639" s="692"/>
      <c r="J639" s="692"/>
      <c r="K639" s="692"/>
      <c r="L639" s="709"/>
    </row>
    <row r="640" spans="1:40" hidden="1">
      <c r="A640" s="706" t="s">
        <v>402</v>
      </c>
      <c r="B640" s="689"/>
      <c r="C640" s="713"/>
      <c r="D640" s="714">
        <v>0</v>
      </c>
      <c r="E640" s="714">
        <v>0</v>
      </c>
      <c r="F640" s="714">
        <v>0</v>
      </c>
      <c r="G640" s="714" t="e">
        <f>IF(#REF!="yes","N/A",#REF!)</f>
        <v>#REF!</v>
      </c>
      <c r="H640" s="692"/>
      <c r="I640" s="692"/>
      <c r="J640" s="692"/>
      <c r="K640" s="692"/>
      <c r="L640" s="709"/>
    </row>
    <row r="641" spans="1:12" hidden="1">
      <c r="A641" s="706" t="s">
        <v>403</v>
      </c>
      <c r="B641" s="689"/>
      <c r="C641" s="691"/>
      <c r="D641" s="714">
        <v>0</v>
      </c>
      <c r="E641" s="714">
        <v>0</v>
      </c>
      <c r="F641" s="714">
        <v>0</v>
      </c>
      <c r="G641" s="714" t="e">
        <f>#REF!</f>
        <v>#REF!</v>
      </c>
      <c r="H641" s="692"/>
      <c r="I641" s="692"/>
      <c r="J641" s="692"/>
      <c r="K641" s="692"/>
      <c r="L641" s="709"/>
    </row>
    <row r="642" spans="1:12" hidden="1">
      <c r="A642" s="706" t="s">
        <v>678</v>
      </c>
      <c r="B642" s="689"/>
      <c r="C642" s="691"/>
      <c r="D642" s="714" t="s">
        <v>574</v>
      </c>
      <c r="E642" s="707" t="s">
        <v>574</v>
      </c>
      <c r="F642" s="712" t="s">
        <v>574</v>
      </c>
      <c r="G642" s="712" t="s">
        <v>574</v>
      </c>
      <c r="H642" s="692"/>
      <c r="I642" s="692"/>
      <c r="J642" s="692"/>
      <c r="K642" s="692"/>
      <c r="L642" s="709"/>
    </row>
    <row r="643" spans="1:12" hidden="1">
      <c r="A643" s="706" t="s">
        <v>679</v>
      </c>
      <c r="B643" s="689"/>
      <c r="C643" s="691"/>
      <c r="D643" s="715">
        <f>D639</f>
        <v>0</v>
      </c>
      <c r="E643" s="715">
        <f>E639</f>
        <v>0</v>
      </c>
      <c r="F643" s="715">
        <f>F639</f>
        <v>0</v>
      </c>
      <c r="G643" s="715">
        <f>G639</f>
        <v>0</v>
      </c>
      <c r="H643" s="692"/>
      <c r="I643" s="692"/>
      <c r="J643" s="692"/>
      <c r="K643" s="692"/>
      <c r="L643" s="709"/>
    </row>
    <row r="644" spans="1:12" hidden="1">
      <c r="A644" s="706" t="s">
        <v>680</v>
      </c>
      <c r="B644" s="689"/>
      <c r="C644" s="691"/>
      <c r="D644" s="715">
        <v>0</v>
      </c>
      <c r="E644" s="715">
        <v>0</v>
      </c>
      <c r="F644" s="715">
        <v>0</v>
      </c>
      <c r="G644" s="715">
        <v>0</v>
      </c>
      <c r="H644" s="692"/>
      <c r="I644" s="692"/>
      <c r="J644" s="692"/>
      <c r="K644" s="692"/>
      <c r="L644" s="709"/>
    </row>
    <row r="645" spans="1:12" hidden="1">
      <c r="A645" s="716" t="s">
        <v>121</v>
      </c>
      <c r="B645" s="717"/>
      <c r="C645" s="717"/>
      <c r="D645" s="715">
        <f>D643</f>
        <v>0</v>
      </c>
      <c r="E645" s="715">
        <f>E643</f>
        <v>0</v>
      </c>
      <c r="F645" s="715">
        <f>F643</f>
        <v>0</v>
      </c>
      <c r="G645" s="715">
        <f>G643</f>
        <v>0</v>
      </c>
      <c r="H645" s="692"/>
      <c r="I645" s="692"/>
      <c r="J645" s="692"/>
      <c r="K645" s="692"/>
      <c r="L645" s="709"/>
    </row>
    <row r="646" spans="1:12" hidden="1">
      <c r="A646" s="706" t="s">
        <v>757</v>
      </c>
      <c r="B646" s="689"/>
      <c r="C646" s="691"/>
      <c r="D646" s="714" t="s">
        <v>681</v>
      </c>
      <c r="E646" s="707" t="s">
        <v>705</v>
      </c>
      <c r="F646" s="712" t="s">
        <v>706</v>
      </c>
      <c r="G646" s="712" t="s">
        <v>707</v>
      </c>
      <c r="H646" s="692"/>
      <c r="I646" s="692"/>
      <c r="J646" s="692"/>
      <c r="K646" s="692"/>
      <c r="L646" s="709"/>
    </row>
    <row r="647" spans="1:12" hidden="1">
      <c r="A647" s="706" t="s">
        <v>682</v>
      </c>
      <c r="B647" s="689"/>
      <c r="C647" s="691"/>
      <c r="D647" s="714" t="s">
        <v>585</v>
      </c>
      <c r="E647" s="714" t="s">
        <v>585</v>
      </c>
      <c r="F647" s="712" t="s">
        <v>585</v>
      </c>
      <c r="G647" s="712" t="s">
        <v>585</v>
      </c>
      <c r="H647" s="692"/>
      <c r="I647" s="692"/>
      <c r="J647" s="692"/>
      <c r="K647" s="692"/>
      <c r="L647" s="709"/>
    </row>
    <row r="648" spans="1:12" hidden="1">
      <c r="A648" s="706" t="s">
        <v>686</v>
      </c>
      <c r="B648" s="689"/>
      <c r="C648" s="691"/>
      <c r="D648" s="718" t="e">
        <f>#REF!</f>
        <v>#REF!</v>
      </c>
      <c r="E648" s="718" t="e">
        <f>#REF!</f>
        <v>#REF!</v>
      </c>
      <c r="F648" s="718" t="e">
        <f>#REF!</f>
        <v>#REF!</v>
      </c>
      <c r="G648" s="718" t="e">
        <f>#REF!</f>
        <v>#REF!</v>
      </c>
      <c r="H648" s="692"/>
      <c r="I648" s="692"/>
      <c r="J648" s="692"/>
      <c r="K648" s="692"/>
      <c r="L648" s="709"/>
    </row>
    <row r="649" spans="1:12" hidden="1">
      <c r="A649" s="706" t="s">
        <v>687</v>
      </c>
      <c r="B649" s="689"/>
      <c r="C649" s="691"/>
      <c r="D649" s="719" t="e">
        <f>#REF!</f>
        <v>#REF!</v>
      </c>
      <c r="E649" s="719" t="e">
        <f>#REF!</f>
        <v>#REF!</v>
      </c>
      <c r="F649" s="719" t="e">
        <f>#REF!</f>
        <v>#REF!</v>
      </c>
      <c r="G649" s="719" t="e">
        <f>#REF!</f>
        <v>#REF!</v>
      </c>
      <c r="H649" s="692"/>
      <c r="I649" s="692"/>
      <c r="J649" s="692"/>
      <c r="K649" s="692"/>
      <c r="L649" s="709"/>
    </row>
    <row r="650" spans="1:12" hidden="1">
      <c r="A650" s="706" t="s">
        <v>909</v>
      </c>
      <c r="B650" s="689"/>
      <c r="C650" s="691"/>
      <c r="D650" s="720" t="e">
        <f>#REF!</f>
        <v>#REF!</v>
      </c>
      <c r="E650" s="720" t="e">
        <f>#REF!</f>
        <v>#REF!</v>
      </c>
      <c r="F650" s="720" t="e">
        <f>#REF!</f>
        <v>#REF!</v>
      </c>
      <c r="G650" s="720" t="e">
        <f>#REF!</f>
        <v>#REF!</v>
      </c>
      <c r="H650" s="692"/>
      <c r="I650" s="692"/>
      <c r="J650" s="692"/>
      <c r="K650" s="692"/>
      <c r="L650" s="709"/>
    </row>
    <row r="651" spans="1:12" hidden="1">
      <c r="A651" s="721" t="s">
        <v>583</v>
      </c>
      <c r="B651" s="689"/>
      <c r="C651" s="691"/>
      <c r="D651" s="720" t="e">
        <f>#REF!</f>
        <v>#REF!</v>
      </c>
      <c r="E651" s="720" t="e">
        <f>#REF!</f>
        <v>#REF!</v>
      </c>
      <c r="F651" s="720" t="e">
        <f>#REF!</f>
        <v>#REF!</v>
      </c>
      <c r="G651" s="720" t="e">
        <f>#REF!</f>
        <v>#REF!</v>
      </c>
      <c r="H651" s="692" t="s">
        <v>435</v>
      </c>
      <c r="I651" s="692"/>
      <c r="J651" s="692"/>
      <c r="K651" s="692"/>
      <c r="L651" s="709"/>
    </row>
    <row r="652" spans="1:12" hidden="1">
      <c r="A652" s="706" t="s">
        <v>688</v>
      </c>
      <c r="B652" s="689"/>
      <c r="C652" s="691"/>
      <c r="D652" s="708" t="e">
        <f>D650-D651</f>
        <v>#REF!</v>
      </c>
      <c r="E652" s="708" t="e">
        <f>E650-E651</f>
        <v>#REF!</v>
      </c>
      <c r="F652" s="708" t="e">
        <f>F650-F651</f>
        <v>#REF!</v>
      </c>
      <c r="G652" s="708" t="e">
        <f>G650-G651</f>
        <v>#REF!</v>
      </c>
      <c r="H652" s="692" t="s">
        <v>436</v>
      </c>
      <c r="I652" s="692"/>
      <c r="J652" s="692"/>
      <c r="K652" s="692"/>
      <c r="L652" s="709"/>
    </row>
    <row r="653" spans="1:12" hidden="1">
      <c r="A653" s="706" t="s">
        <v>708</v>
      </c>
      <c r="B653" s="689"/>
      <c r="C653" s="691"/>
      <c r="D653" s="708" t="e">
        <f>D652+#REF!</f>
        <v>#REF!</v>
      </c>
      <c r="E653" s="708" t="e">
        <f>E652+#REF!</f>
        <v>#REF!</v>
      </c>
      <c r="F653" s="708" t="e">
        <f>F652+#REF!</f>
        <v>#REF!</v>
      </c>
      <c r="G653" s="708" t="e">
        <f>G652+#REF!</f>
        <v>#REF!</v>
      </c>
      <c r="H653" s="692"/>
      <c r="I653" s="692"/>
      <c r="J653" s="692"/>
      <c r="K653" s="692"/>
      <c r="L653" s="709"/>
    </row>
    <row r="654" spans="1:12" hidden="1">
      <c r="A654" s="706" t="s">
        <v>689</v>
      </c>
      <c r="B654" s="689"/>
      <c r="C654" s="691"/>
      <c r="D654" s="714" t="e">
        <f>(D655-#REF!)/365</f>
        <v>#REF!</v>
      </c>
      <c r="E654" s="714" t="e">
        <f>(E655-#REF!)/365</f>
        <v>#REF!</v>
      </c>
      <c r="F654" s="714" t="e">
        <f>(F655-#REF!)/365</f>
        <v>#REF!</v>
      </c>
      <c r="G654" s="714" t="e">
        <f>(G655-#REF!)/365</f>
        <v>#REF!</v>
      </c>
      <c r="H654" s="62"/>
      <c r="I654" s="62"/>
      <c r="J654" s="62"/>
      <c r="K654" s="62"/>
      <c r="L654" s="709"/>
    </row>
    <row r="655" spans="1:12" hidden="1">
      <c r="A655" s="706" t="s">
        <v>690</v>
      </c>
      <c r="B655" s="689"/>
      <c r="C655" s="691"/>
      <c r="D655" s="722">
        <v>41598</v>
      </c>
      <c r="E655" s="722">
        <v>41598</v>
      </c>
      <c r="F655" s="722">
        <v>41598</v>
      </c>
      <c r="G655" s="722">
        <v>41598</v>
      </c>
      <c r="H655" s="62"/>
      <c r="I655" s="62"/>
      <c r="J655" s="62"/>
      <c r="K655" s="62"/>
      <c r="L655" s="709"/>
    </row>
    <row r="656" spans="1:12" hidden="1">
      <c r="A656" s="706" t="s">
        <v>691</v>
      </c>
      <c r="B656" s="689"/>
      <c r="C656" s="691"/>
      <c r="D656" s="722">
        <v>41598</v>
      </c>
      <c r="E656" s="722">
        <v>41598</v>
      </c>
      <c r="F656" s="722">
        <v>41598</v>
      </c>
      <c r="G656" s="722">
        <v>41598</v>
      </c>
      <c r="H656" s="62"/>
      <c r="I656" s="62"/>
      <c r="J656" s="62"/>
      <c r="K656" s="62"/>
      <c r="L656" s="709"/>
    </row>
    <row r="657" spans="1:12" hidden="1">
      <c r="A657" s="723" t="s">
        <v>692</v>
      </c>
      <c r="B657" s="724" t="s">
        <v>639</v>
      </c>
      <c r="C657" s="725"/>
      <c r="D657" s="726">
        <v>57304</v>
      </c>
      <c r="E657" s="726">
        <v>57304</v>
      </c>
      <c r="F657" s="726">
        <v>57304</v>
      </c>
      <c r="G657" s="726">
        <v>57304</v>
      </c>
      <c r="H657" s="727"/>
      <c r="I657" s="727"/>
      <c r="J657" s="727"/>
      <c r="K657" s="727"/>
      <c r="L657" s="728"/>
    </row>
    <row r="658" spans="1:12">
      <c r="A658" s="33"/>
      <c r="B658" s="33"/>
      <c r="C658" s="33"/>
      <c r="G658" s="246"/>
    </row>
    <row r="659" spans="1:12">
      <c r="A659" s="242"/>
      <c r="G659" s="206"/>
    </row>
    <row r="660" spans="1:12" ht="15.75">
      <c r="A660" s="440" t="s">
        <v>385</v>
      </c>
      <c r="G660" s="206"/>
    </row>
    <row r="661" spans="1:12" ht="25.5">
      <c r="A661" s="177" t="s">
        <v>674</v>
      </c>
      <c r="B661" s="247" t="s">
        <v>1028</v>
      </c>
      <c r="C661" s="245" t="s">
        <v>1029</v>
      </c>
      <c r="D661" s="246" t="s">
        <v>751</v>
      </c>
      <c r="E661" s="246" t="s">
        <v>386</v>
      </c>
      <c r="F661" s="287" t="s">
        <v>752</v>
      </c>
      <c r="G661" s="246" t="s">
        <v>965</v>
      </c>
    </row>
    <row r="662" spans="1:12">
      <c r="A662" s="190" t="s">
        <v>709</v>
      </c>
      <c r="B662" s="248" t="e">
        <f>(+SUMIF(GMF2_NoteClass,"A",GBP_GMF2_LN_Outstanding)+SUMIF(GMF3_NoteClass,"A",GBP_GMF3_LN_Outstanding))</f>
        <v>#REF!</v>
      </c>
      <c r="C662" s="199" t="e">
        <f>+ROUND(B662/SUM($B$662:$B$666),2)</f>
        <v>#REF!</v>
      </c>
      <c r="D662" s="249" t="e">
        <f>+ROUND(SUM(B663:$B$666)+$B$685,2)</f>
        <v>#REF!</v>
      </c>
      <c r="E662" s="206" t="e">
        <f>+D662/SUM($B$662:$B$666)</f>
        <v>#REF!</v>
      </c>
      <c r="F662" s="248" t="e">
        <f>ROUND(+G662*SUM($B$662:$B$666),2)</f>
        <v>#REF!</v>
      </c>
      <c r="G662" s="206">
        <v>0.10150000000000001</v>
      </c>
    </row>
    <row r="663" spans="1:12">
      <c r="A663" s="190" t="s">
        <v>89</v>
      </c>
      <c r="B663" s="248" t="e">
        <f>(+SUMIF(GMF2_NoteClass,"B",GBP_GMF2_LN_Outstanding)+SUMIF(GMF3_NoteClass,"B",GBP_GMF3_LN_Outstanding))</f>
        <v>#REF!</v>
      </c>
      <c r="C663" s="199" t="e">
        <f>+ROUND(B663/SUM($B$662:$B$666),2)</f>
        <v>#REF!</v>
      </c>
      <c r="D663" s="249" t="e">
        <f>+ROUND(SUM(B664:$B$666)+$B$685,2)</f>
        <v>#REF!</v>
      </c>
      <c r="E663" s="206" t="e">
        <f>+D663/SUM($B$662:$B$666)</f>
        <v>#REF!</v>
      </c>
      <c r="F663" s="248" t="e">
        <f>ROUND(+G663*SUM($B$662:$B$666),2)</f>
        <v>#REF!</v>
      </c>
      <c r="G663" s="206">
        <v>7.1499999999999994E-2</v>
      </c>
    </row>
    <row r="664" spans="1:12">
      <c r="A664" s="190" t="s">
        <v>379</v>
      </c>
      <c r="B664" s="248" t="e">
        <f>(+SUMIF(GMF2_NoteClass,"C",GBP_GMF2_LN_Outstanding)+SUMIF(GMF3_NoteClass,"C",GBP_GMF3_LN_Outstanding))</f>
        <v>#REF!</v>
      </c>
      <c r="C664" s="199" t="e">
        <f>+ROUND(B664/SUM($B$662:$B$666),2)</f>
        <v>#REF!</v>
      </c>
      <c r="D664" s="249" t="e">
        <f>+ROUND(SUM(B665:$B$666)+$B$685,2)</f>
        <v>#REF!</v>
      </c>
      <c r="E664" s="206" t="e">
        <f>+D664/SUM($B$662:$B$666)</f>
        <v>#REF!</v>
      </c>
      <c r="F664" s="248" t="e">
        <f>ROUND(+G664*SUM($B$662:$B$666),2)</f>
        <v>#REF!</v>
      </c>
      <c r="G664" s="206">
        <v>4.5499999999999999E-2</v>
      </c>
    </row>
    <row r="665" spans="1:12">
      <c r="A665" s="190" t="s">
        <v>380</v>
      </c>
      <c r="B665" s="248" t="e">
        <f>(+SUMIF(GMF2_NoteClass,"D",GBP_GMF2_LN_Outstanding)+SUMIF(GMF3_NoteClass,"D",GBP_GMF3_LN_Outstanding))</f>
        <v>#REF!</v>
      </c>
      <c r="C665" s="199" t="e">
        <f>+ROUND(B665/SUM($B$662:$B$666),2)</f>
        <v>#REF!</v>
      </c>
      <c r="D665" s="249" t="e">
        <f>+ROUND(SUM(B666:$B666)+$B$685,2)</f>
        <v>#REF!</v>
      </c>
      <c r="E665" s="206" t="e">
        <f>+D665/SUM($B$662:$B$666)</f>
        <v>#REF!</v>
      </c>
      <c r="F665" s="248" t="e">
        <f>ROUND(+G665*SUM($B$662:$B$666),2)</f>
        <v>#REF!</v>
      </c>
      <c r="G665" s="206">
        <v>1.2500000000000001E-2</v>
      </c>
    </row>
    <row r="666" spans="1:12">
      <c r="A666" s="190" t="s">
        <v>1050</v>
      </c>
      <c r="B666" s="248" t="e">
        <f>#REF!</f>
        <v>#REF!</v>
      </c>
      <c r="C666" s="199" t="e">
        <f>+ROUND(B666/SUM($B$662:$B$666),2)</f>
        <v>#REF!</v>
      </c>
      <c r="D666" s="249" t="e">
        <f>+ROUND(SUM(B667:$B667)+$B$685,2)</f>
        <v>#REF!</v>
      </c>
      <c r="E666" s="206" t="e">
        <f>+D666/SUM($B$662:$B$666)</f>
        <v>#REF!</v>
      </c>
      <c r="F666" s="248"/>
      <c r="G666" s="206"/>
    </row>
    <row r="667" spans="1:12" ht="12" customHeight="1">
      <c r="A667" s="190"/>
      <c r="C667" s="47"/>
      <c r="D667" s="199"/>
    </row>
    <row r="669" spans="1:12">
      <c r="A669" s="178" t="s">
        <v>122</v>
      </c>
      <c r="B669" s="182"/>
      <c r="C669" s="182"/>
      <c r="D669" s="213"/>
      <c r="E669" s="213"/>
      <c r="F669" s="213"/>
    </row>
    <row r="670" spans="1:12">
      <c r="A670" s="194" t="s">
        <v>966</v>
      </c>
      <c r="B670" s="194"/>
      <c r="C670" s="194"/>
      <c r="D670" s="194"/>
      <c r="E670" s="194"/>
      <c r="F670" s="194"/>
    </row>
    <row r="671" spans="1:12">
      <c r="A671" s="194" t="s">
        <v>967</v>
      </c>
      <c r="B671" s="213"/>
      <c r="C671" s="213"/>
      <c r="D671" s="213"/>
      <c r="E671" s="213"/>
      <c r="F671" s="213"/>
    </row>
    <row r="672" spans="1:12">
      <c r="A672" s="178" t="s">
        <v>498</v>
      </c>
      <c r="B672" s="250"/>
      <c r="C672" s="250"/>
      <c r="D672" s="250"/>
    </row>
    <row r="674" spans="1:7">
      <c r="A674" s="178" t="s">
        <v>963</v>
      </c>
    </row>
    <row r="675" spans="1:7">
      <c r="A675" s="178" t="s">
        <v>962</v>
      </c>
    </row>
    <row r="676" spans="1:7">
      <c r="A676" s="178" t="s">
        <v>48</v>
      </c>
    </row>
    <row r="677" spans="1:7" ht="12" customHeight="1">
      <c r="A677" s="178" t="s">
        <v>968</v>
      </c>
    </row>
    <row r="678" spans="1:7">
      <c r="A678" s="178" t="s">
        <v>964</v>
      </c>
    </row>
    <row r="682" spans="1:7" ht="15.75">
      <c r="A682" s="414" t="s">
        <v>710</v>
      </c>
      <c r="B682" s="251" t="s">
        <v>9</v>
      </c>
      <c r="F682" s="193"/>
    </row>
    <row r="683" spans="1:7">
      <c r="A683" s="190" t="s">
        <v>711</v>
      </c>
      <c r="B683" s="200" t="e">
        <f>+#REF!</f>
        <v>#REF!</v>
      </c>
      <c r="D683" s="190"/>
      <c r="F683" s="200"/>
      <c r="G683" s="586"/>
    </row>
    <row r="684" spans="1:7">
      <c r="A684" s="190" t="s">
        <v>712</v>
      </c>
      <c r="B684" s="200" t="e">
        <f>#REF!</f>
        <v>#REF!</v>
      </c>
      <c r="F684" s="36"/>
      <c r="G684" s="34"/>
    </row>
    <row r="685" spans="1:7">
      <c r="A685" s="190" t="s">
        <v>713</v>
      </c>
      <c r="B685" s="200" t="e">
        <f>+#REF!</f>
        <v>#REF!</v>
      </c>
      <c r="D685" s="185"/>
      <c r="F685" s="36"/>
    </row>
    <row r="686" spans="1:7">
      <c r="A686" s="190" t="s">
        <v>29</v>
      </c>
      <c r="B686" s="210" t="e">
        <f>+B685-B684</f>
        <v>#REF!</v>
      </c>
    </row>
    <row r="687" spans="1:7">
      <c r="A687" s="190"/>
      <c r="B687" s="200"/>
    </row>
    <row r="688" spans="1:7" ht="14.25">
      <c r="A688" s="266"/>
      <c r="C688" s="206"/>
    </row>
    <row r="689" spans="1:4" ht="14.25">
      <c r="A689" s="579"/>
      <c r="B689" s="580"/>
      <c r="C689" s="580"/>
      <c r="D689" s="580"/>
    </row>
    <row r="690" spans="1:4" ht="14.25">
      <c r="A690" s="579"/>
      <c r="B690" s="581"/>
      <c r="C690" s="581"/>
      <c r="D690" s="581"/>
    </row>
    <row r="691" spans="1:4" ht="15.75">
      <c r="A691" s="414" t="s">
        <v>714</v>
      </c>
      <c r="B691" s="580" t="s">
        <v>508</v>
      </c>
      <c r="C691" s="580" t="s">
        <v>509</v>
      </c>
      <c r="D691" s="580" t="s">
        <v>510</v>
      </c>
    </row>
    <row r="692" spans="1:4">
      <c r="A692" s="729"/>
      <c r="B692" s="251" t="s">
        <v>9</v>
      </c>
      <c r="C692" s="251" t="s">
        <v>9</v>
      </c>
      <c r="D692" s="251" t="s">
        <v>9</v>
      </c>
    </row>
    <row r="693" spans="1:4">
      <c r="A693" s="43" t="s">
        <v>715</v>
      </c>
      <c r="B693" s="582">
        <f>'[7]Quarterly Report'!$D$698</f>
        <v>7996084.8000000212</v>
      </c>
      <c r="C693" s="730" t="e">
        <f>+B698</f>
        <v>#REF!</v>
      </c>
      <c r="D693" s="200" t="e">
        <f>+C698</f>
        <v>#REF!</v>
      </c>
    </row>
    <row r="694" spans="1:4" ht="25.5">
      <c r="A694" s="40" t="s">
        <v>716</v>
      </c>
      <c r="B694" s="583" t="e">
        <f>#REF!</f>
        <v>#REF!</v>
      </c>
      <c r="C694" s="583">
        <v>0</v>
      </c>
      <c r="D694" s="583" t="e">
        <f>#REF!</f>
        <v>#REF!</v>
      </c>
    </row>
    <row r="695" spans="1:4">
      <c r="A695" s="43" t="s">
        <v>641</v>
      </c>
      <c r="B695" s="584">
        <f>'[6]Trust Waterfalls'!$B$75</f>
        <v>240.94</v>
      </c>
      <c r="C695" s="584">
        <f>'[5]Trust Waterfalls'!$B$75</f>
        <v>113.84</v>
      </c>
      <c r="D695" s="743">
        <f>'[3]Trust Waterfalls'!$B$75</f>
        <v>74.37</v>
      </c>
    </row>
    <row r="696" spans="1:4">
      <c r="A696" s="43" t="s">
        <v>642</v>
      </c>
      <c r="B696" s="584">
        <f>'[6]Trust Waterfalls'!$B$78</f>
        <v>0</v>
      </c>
      <c r="C696" s="584">
        <f>'[5]Trust Waterfalls'!$B$78</f>
        <v>0</v>
      </c>
      <c r="D696" s="743">
        <f>'[3]Trust Waterfalls'!$B$78</f>
        <v>0</v>
      </c>
    </row>
    <row r="697" spans="1:4">
      <c r="A697" s="43" t="s">
        <v>643</v>
      </c>
      <c r="B697" s="585">
        <f>'[6]Trust Waterfalls'!$B$79</f>
        <v>0</v>
      </c>
      <c r="C697" s="585">
        <f>'[5]Trust Waterfalls'!$B$79</f>
        <v>0</v>
      </c>
      <c r="D697" s="744">
        <f>'[3]Trust Waterfalls'!$B$79</f>
        <v>0</v>
      </c>
    </row>
    <row r="698" spans="1:4" ht="13.5" thickBot="1">
      <c r="A698" s="190" t="s">
        <v>644</v>
      </c>
      <c r="B698" s="203" t="e">
        <f>+B693+B694-B695-B696-B697</f>
        <v>#REF!</v>
      </c>
      <c r="C698" s="203" t="e">
        <f>+C693+C694-C695-C696-C697</f>
        <v>#REF!</v>
      </c>
      <c r="D698" s="203" t="e">
        <f>+D693+D694-D695-D696-D697</f>
        <v>#REF!</v>
      </c>
    </row>
    <row r="699" spans="1:4" ht="13.5" thickTop="1">
      <c r="A699" s="189"/>
      <c r="D699" s="88"/>
    </row>
    <row r="700" spans="1:4">
      <c r="A700" s="33"/>
      <c r="D700" s="88"/>
    </row>
    <row r="701" spans="1:4">
      <c r="A701" s="190"/>
    </row>
    <row r="702" spans="1:4" ht="38.25">
      <c r="A702" s="39" t="s">
        <v>1030</v>
      </c>
      <c r="B702" s="252" t="s">
        <v>98</v>
      </c>
      <c r="C702" s="84"/>
    </row>
    <row r="703" spans="1:4">
      <c r="A703" s="39"/>
      <c r="B703" s="252"/>
      <c r="C703" s="84"/>
    </row>
    <row r="704" spans="1:4">
      <c r="A704" s="39" t="s">
        <v>645</v>
      </c>
      <c r="B704" s="253" t="s">
        <v>582</v>
      </c>
    </row>
    <row r="705" spans="1:6">
      <c r="F705" s="42"/>
    </row>
    <row r="706" spans="1:6">
      <c r="F706" s="42"/>
    </row>
    <row r="707" spans="1:6">
      <c r="A707" s="91" t="s">
        <v>25</v>
      </c>
    </row>
    <row r="708" spans="1:6">
      <c r="A708" s="91" t="s">
        <v>796</v>
      </c>
    </row>
    <row r="709" spans="1:6">
      <c r="A709" s="92" t="s">
        <v>758</v>
      </c>
      <c r="B709" s="93"/>
      <c r="C709" s="94">
        <v>439278802.38999999</v>
      </c>
      <c r="D709" s="50" t="s">
        <v>646</v>
      </c>
    </row>
    <row r="710" spans="1:6">
      <c r="A710" s="92" t="s">
        <v>795</v>
      </c>
      <c r="B710" s="93"/>
      <c r="C710" s="94">
        <v>1565155.59</v>
      </c>
      <c r="D710" s="50" t="s">
        <v>646</v>
      </c>
    </row>
    <row r="711" spans="1:6">
      <c r="A711" s="92" t="s">
        <v>647</v>
      </c>
      <c r="B711" s="93"/>
      <c r="C711" s="164">
        <v>7724191994.8500004</v>
      </c>
      <c r="D711" s="50" t="s">
        <v>646</v>
      </c>
    </row>
    <row r="712" spans="1:6">
      <c r="A712" s="92" t="s">
        <v>648</v>
      </c>
      <c r="B712" s="93"/>
      <c r="C712" s="163">
        <v>152991218.19999999</v>
      </c>
      <c r="D712" s="50" t="s">
        <v>646</v>
      </c>
    </row>
    <row r="713" spans="1:6">
      <c r="C713" s="88"/>
    </row>
    <row r="714" spans="1:6">
      <c r="C714" s="88"/>
    </row>
    <row r="715" spans="1:6">
      <c r="A715" s="91" t="s">
        <v>557</v>
      </c>
    </row>
    <row r="716" spans="1:6">
      <c r="A716" s="55" t="s">
        <v>649</v>
      </c>
      <c r="B716" s="83">
        <v>5388587.0599999996</v>
      </c>
    </row>
    <row r="717" spans="1:6">
      <c r="A717" s="55" t="s">
        <v>650</v>
      </c>
      <c r="B717" s="83">
        <v>1108.02</v>
      </c>
      <c r="C717" s="34"/>
      <c r="D717" s="85"/>
      <c r="E717" s="84"/>
    </row>
    <row r="718" spans="1:6">
      <c r="A718" s="55" t="s">
        <v>651</v>
      </c>
      <c r="B718" s="83">
        <v>242632597.91999999</v>
      </c>
      <c r="D718" s="85"/>
      <c r="E718" s="84"/>
    </row>
    <row r="719" spans="1:6">
      <c r="A719" s="55" t="s">
        <v>652</v>
      </c>
      <c r="B719" s="83">
        <v>42873.35</v>
      </c>
    </row>
    <row r="720" spans="1:6">
      <c r="A720" s="55" t="s">
        <v>653</v>
      </c>
      <c r="B720" s="83">
        <v>0</v>
      </c>
    </row>
    <row r="721" spans="1:6">
      <c r="A721" s="55" t="s">
        <v>654</v>
      </c>
      <c r="B721" s="83">
        <v>0</v>
      </c>
      <c r="C721" s="34"/>
    </row>
    <row r="722" spans="1:6">
      <c r="A722" s="55" t="s">
        <v>655</v>
      </c>
      <c r="B722" s="83">
        <v>-52449.59</v>
      </c>
    </row>
    <row r="723" spans="1:6">
      <c r="A723" s="55" t="s">
        <v>656</v>
      </c>
      <c r="B723" s="83">
        <v>0</v>
      </c>
    </row>
    <row r="724" spans="1:6">
      <c r="A724" s="55" t="s">
        <v>653</v>
      </c>
      <c r="B724" s="83">
        <v>0</v>
      </c>
    </row>
    <row r="725" spans="1:6">
      <c r="A725" s="55" t="s">
        <v>657</v>
      </c>
      <c r="B725" s="83">
        <v>-52449.59</v>
      </c>
      <c r="C725" s="34"/>
    </row>
    <row r="726" spans="1:6" ht="26.25" thickBot="1">
      <c r="A726" s="63" t="s">
        <v>797</v>
      </c>
      <c r="B726" s="89">
        <f>+B716-B717+B718-B719+B722-B723</f>
        <v>247924754.01999998</v>
      </c>
      <c r="E726" s="33"/>
    </row>
    <row r="727" spans="1:6" ht="13.5" thickTop="1">
      <c r="D727" s="498" t="s">
        <v>24</v>
      </c>
      <c r="E727" s="33"/>
      <c r="F727" s="161"/>
    </row>
    <row r="728" spans="1:6">
      <c r="D728" s="83" t="s">
        <v>732</v>
      </c>
      <c r="E728" s="33"/>
      <c r="F728" s="161"/>
    </row>
    <row r="729" spans="1:6">
      <c r="A729" s="91" t="s">
        <v>798</v>
      </c>
      <c r="D729" s="83">
        <f>92-80</f>
        <v>12</v>
      </c>
      <c r="E729" s="36" t="e">
        <f>+#REF!+#REF!</f>
        <v>#REF!</v>
      </c>
      <c r="F729" s="161" t="s">
        <v>733</v>
      </c>
    </row>
    <row r="730" spans="1:6">
      <c r="A730" s="55" t="s">
        <v>755</v>
      </c>
      <c r="B730" s="50" t="e">
        <f>+(C432/E729)</f>
        <v>#REF!</v>
      </c>
      <c r="D730" s="83">
        <v>80</v>
      </c>
      <c r="E730" s="36" t="e">
        <f>+#REF!+#REF!+#REF!</f>
        <v>#REF!</v>
      </c>
      <c r="F730" s="162" t="s">
        <v>23</v>
      </c>
    </row>
    <row r="731" spans="1:6" ht="13.5" thickBot="1">
      <c r="A731" s="55" t="s">
        <v>756</v>
      </c>
      <c r="B731" s="47" t="e">
        <f>+((#REF!-#REF!)*#REF!+#REF!*(#REF!+#REF!))/#REF!</f>
        <v>#REF!</v>
      </c>
      <c r="D731" s="265" t="s">
        <v>493</v>
      </c>
      <c r="E731" s="264" t="e">
        <f>+SUMPRODUCT(D729:D730,E729:E730)/SUM(D729:D730)</f>
        <v>#REF!</v>
      </c>
      <c r="F731" s="162"/>
    </row>
    <row r="732" spans="1:6" ht="13.5" thickTop="1">
      <c r="E732" s="33"/>
      <c r="F732" s="162"/>
    </row>
    <row r="733" spans="1:6">
      <c r="A733" s="91" t="s">
        <v>799</v>
      </c>
    </row>
    <row r="734" spans="1:6">
      <c r="A734" s="91" t="s">
        <v>671</v>
      </c>
      <c r="B734" s="254" t="e">
        <f>+#REF!</f>
        <v>#REF!</v>
      </c>
      <c r="C734" s="95" t="e">
        <f>+D9</f>
        <v>#REF!</v>
      </c>
    </row>
    <row r="735" spans="1:6">
      <c r="A735" s="55" t="s">
        <v>658</v>
      </c>
      <c r="B735" s="255">
        <v>8.2194999999999994E-3</v>
      </c>
      <c r="C735" s="50" t="s">
        <v>670</v>
      </c>
    </row>
    <row r="736" spans="1:6">
      <c r="A736" s="55" t="s">
        <v>659</v>
      </c>
      <c r="B736" s="256">
        <v>4.0000000000000001E-3</v>
      </c>
    </row>
    <row r="737" spans="1:4">
      <c r="A737" s="191" t="s">
        <v>660</v>
      </c>
      <c r="B737" s="254" t="e">
        <f>+B734+(B735+B736)/2</f>
        <v>#REF!</v>
      </c>
    </row>
    <row r="738" spans="1:4">
      <c r="A738" s="55" t="s">
        <v>661</v>
      </c>
      <c r="B738" s="83" t="e">
        <f>+#REF!</f>
        <v>#REF!</v>
      </c>
    </row>
    <row r="739" spans="1:4" ht="13.5" thickBot="1">
      <c r="A739" s="55" t="s">
        <v>662</v>
      </c>
      <c r="B739" s="89" t="e">
        <f>+B737*B738</f>
        <v>#REF!</v>
      </c>
    </row>
    <row r="740" spans="1:4" ht="13.5" thickTop="1">
      <c r="A740" s="191" t="s">
        <v>789</v>
      </c>
    </row>
    <row r="741" spans="1:4">
      <c r="A741" s="55" t="s">
        <v>663</v>
      </c>
    </row>
    <row r="742" spans="1:4">
      <c r="A742" s="55" t="s">
        <v>664</v>
      </c>
      <c r="B742" s="254" t="e">
        <f>+#REF!</f>
        <v>#REF!</v>
      </c>
    </row>
    <row r="743" spans="1:4">
      <c r="A743" s="55" t="s">
        <v>665</v>
      </c>
      <c r="B743" s="83" t="e">
        <f>+ROUND(SUM(#REF!),2)</f>
        <v>#REF!</v>
      </c>
    </row>
    <row r="744" spans="1:4">
      <c r="B744" s="83" t="e">
        <f>+ROUND(B742*B743,2)</f>
        <v>#REF!</v>
      </c>
    </row>
    <row r="745" spans="1:4">
      <c r="A745" s="55" t="s">
        <v>666</v>
      </c>
      <c r="B745" s="83" t="e">
        <f>+#REF!</f>
        <v>#REF!</v>
      </c>
    </row>
    <row r="746" spans="1:4">
      <c r="A746" s="191" t="s">
        <v>667</v>
      </c>
    </row>
    <row r="747" spans="1:4">
      <c r="A747" s="191" t="s">
        <v>669</v>
      </c>
    </row>
    <row r="748" spans="1:4">
      <c r="A748" s="191" t="s">
        <v>668</v>
      </c>
      <c r="B748" s="33"/>
    </row>
    <row r="749" spans="1:4" ht="13.5" thickBot="1">
      <c r="A749" s="55" t="s">
        <v>123</v>
      </c>
      <c r="B749" s="257" t="e">
        <f>+ROUND(B739-B744-B745,2)</f>
        <v>#REF!</v>
      </c>
      <c r="D749" s="83" t="s">
        <v>639</v>
      </c>
    </row>
    <row r="750" spans="1:4" ht="13.5" thickTop="1"/>
  </sheetData>
  <mergeCells count="26">
    <mergeCell ref="A388:C388"/>
    <mergeCell ref="A393:C393"/>
    <mergeCell ref="A13:D13"/>
    <mergeCell ref="B16:D16"/>
    <mergeCell ref="B17:D17"/>
    <mergeCell ref="B21:D21"/>
    <mergeCell ref="E17:G17"/>
    <mergeCell ref="A382:B382"/>
    <mergeCell ref="A353:B353"/>
    <mergeCell ref="A357:B357"/>
    <mergeCell ref="B18:D18"/>
    <mergeCell ref="A371:K371"/>
    <mergeCell ref="A381:B381"/>
    <mergeCell ref="E18:G18"/>
    <mergeCell ref="B19:D19"/>
    <mergeCell ref="B20:D20"/>
    <mergeCell ref="A618:C618"/>
    <mergeCell ref="D392:E392"/>
    <mergeCell ref="A436:C437"/>
    <mergeCell ref="A516:F516"/>
    <mergeCell ref="B455:C455"/>
    <mergeCell ref="A562:C562"/>
    <mergeCell ref="A590:C590"/>
    <mergeCell ref="A401:E401"/>
    <mergeCell ref="F401:G401"/>
    <mergeCell ref="F410:G416"/>
  </mergeCells>
  <phoneticPr fontId="3" type="noConversion"/>
  <pageMargins left="0.66" right="0.15748031496062992" top="0.47244094488188981" bottom="0.11811023622047245" header="0" footer="0.17"/>
  <pageSetup paperSize="9" scale="41" fitToHeight="27" orientation="landscape" r:id="rId1"/>
  <headerFooter alignWithMargins="0">
    <oddFooter>&amp;CPage &amp;P of &amp;N</oddFooter>
  </headerFooter>
  <rowBreaks count="9" manualBreakCount="9">
    <brk id="63" max="12" man="1"/>
    <brk id="152" max="12" man="1"/>
    <brk id="234" max="12" man="1"/>
    <brk id="311" max="12" man="1"/>
    <brk id="373" max="12" man="1"/>
    <brk id="442" max="12" man="1"/>
    <brk id="517" max="12" man="1"/>
    <brk id="576" max="12" man="1"/>
    <brk id="631" max="12" man="1"/>
  </rowBreaks>
  <legacyDrawing r:id="rId2"/>
</worksheet>
</file>

<file path=xl/worksheets/sheet2.xml><?xml version="1.0" encoding="utf-8"?>
<worksheet xmlns="http://schemas.openxmlformats.org/spreadsheetml/2006/main" xmlns:r="http://schemas.openxmlformats.org/officeDocument/2006/relationships">
  <sheetPr codeName="Sheet20" enableFormatConditionsCalculation="0">
    <tabColor theme="0"/>
  </sheetPr>
  <dimension ref="A1:IV873"/>
  <sheetViews>
    <sheetView tabSelected="1" view="pageBreakPreview" zoomScale="75" zoomScaleNormal="70" zoomScaleSheetLayoutView="75" workbookViewId="0">
      <selection activeCell="E4" sqref="E4"/>
    </sheetView>
  </sheetViews>
  <sheetFormatPr defaultRowHeight="12.75"/>
  <cols>
    <col min="1" max="1" width="55.85546875" style="55" customWidth="1"/>
    <col min="2" max="2" width="43.28515625" style="83" customWidth="1"/>
    <col min="3" max="3" width="34.140625" style="50" customWidth="1"/>
    <col min="4" max="4" width="34.140625" style="83" customWidth="1"/>
    <col min="5" max="5" width="22.140625" style="50" customWidth="1"/>
    <col min="6" max="6" width="23.5703125" style="33" customWidth="1"/>
    <col min="7" max="7" width="30.42578125" style="33" customWidth="1"/>
    <col min="8" max="8" width="33.5703125" style="33" customWidth="1"/>
    <col min="9" max="9" width="22.42578125" style="33" customWidth="1"/>
    <col min="10" max="10" width="24.42578125" style="33" customWidth="1"/>
    <col min="11" max="11" width="18.28515625" style="33" customWidth="1"/>
    <col min="12" max="12" width="19.140625" style="33" bestFit="1" customWidth="1"/>
    <col min="13" max="13" width="3.5703125" style="35" customWidth="1"/>
    <col min="14" max="16" width="18.28515625" style="35" customWidth="1"/>
    <col min="17" max="17" width="6.42578125" style="35" customWidth="1"/>
    <col min="18" max="19" width="18.28515625" style="35" customWidth="1"/>
    <col min="20" max="21" width="10.85546875" style="35" customWidth="1"/>
    <col min="22" max="36" width="9.140625" style="35"/>
    <col min="37" max="16384" width="9.140625" style="33"/>
  </cols>
  <sheetData>
    <row r="1" spans="1:7" ht="13.5" customHeight="1">
      <c r="B1" s="295"/>
      <c r="C1" s="180"/>
      <c r="D1" s="179"/>
      <c r="E1" s="180"/>
      <c r="F1" s="64"/>
      <c r="G1" s="64"/>
    </row>
    <row r="2" spans="1:7" ht="23.25">
      <c r="A2" s="301" t="s">
        <v>125</v>
      </c>
      <c r="B2" s="295"/>
      <c r="C2" s="180"/>
      <c r="D2" s="179"/>
      <c r="E2" s="180"/>
      <c r="F2" s="64"/>
      <c r="G2" s="64"/>
    </row>
    <row r="3" spans="1:7" ht="20.25">
      <c r="A3" s="303" t="s">
        <v>739</v>
      </c>
      <c r="B3" s="295"/>
      <c r="C3" s="180"/>
      <c r="D3" s="179"/>
      <c r="E3" s="180"/>
      <c r="F3" s="64"/>
      <c r="G3" s="64"/>
    </row>
    <row r="4" spans="1:7" ht="18.75">
      <c r="A4" s="906" t="s">
        <v>1094</v>
      </c>
      <c r="C4" s="484"/>
      <c r="F4" s="181"/>
    </row>
    <row r="5" spans="1:7" ht="18.75">
      <c r="A5" s="294"/>
      <c r="B5" s="295"/>
      <c r="C5" s="361"/>
      <c r="D5" s="179"/>
      <c r="E5" s="180"/>
      <c r="F5" s="64"/>
      <c r="G5" s="64"/>
    </row>
    <row r="6" spans="1:7" ht="18.75">
      <c r="A6" s="961" t="s">
        <v>152</v>
      </c>
      <c r="B6" s="916">
        <v>41333</v>
      </c>
      <c r="C6" s="486"/>
      <c r="F6" s="181"/>
    </row>
    <row r="7" spans="1:7" ht="18.75">
      <c r="A7" s="962" t="s">
        <v>171</v>
      </c>
      <c r="B7" s="958">
        <v>41233</v>
      </c>
      <c r="C7" s="218"/>
      <c r="F7" s="181"/>
    </row>
    <row r="8" spans="1:7" ht="18.75">
      <c r="A8" s="962" t="s">
        <v>1060</v>
      </c>
      <c r="B8" s="958">
        <v>41325</v>
      </c>
      <c r="C8" s="218"/>
      <c r="F8" s="181"/>
    </row>
    <row r="9" spans="1:7" ht="18.75">
      <c r="A9" s="962" t="s">
        <v>28</v>
      </c>
      <c r="B9" s="958">
        <v>41325</v>
      </c>
      <c r="C9" s="218"/>
      <c r="F9" s="181"/>
    </row>
    <row r="10" spans="1:7" ht="18.75">
      <c r="A10" s="963" t="s">
        <v>172</v>
      </c>
      <c r="B10" s="917">
        <v>92</v>
      </c>
      <c r="C10" s="750"/>
    </row>
    <row r="11" spans="1:7" ht="18.75">
      <c r="A11" s="964" t="s">
        <v>173</v>
      </c>
      <c r="B11" s="918">
        <v>41414</v>
      </c>
      <c r="C11" s="751"/>
    </row>
    <row r="12" spans="1:7" ht="18.75">
      <c r="A12" s="751"/>
      <c r="B12" s="944"/>
      <c r="C12" s="751"/>
    </row>
    <row r="13" spans="1:7" ht="19.5" customHeight="1">
      <c r="A13" s="178"/>
      <c r="B13" s="179"/>
    </row>
    <row r="14" spans="1:7" ht="96.75" customHeight="1">
      <c r="A14" s="1366" t="s">
        <v>306</v>
      </c>
      <c r="B14" s="1458"/>
      <c r="C14" s="1458"/>
      <c r="D14" s="1459"/>
    </row>
    <row r="15" spans="1:7" ht="19.5" customHeight="1">
      <c r="A15" s="33"/>
      <c r="B15" s="33"/>
      <c r="C15" s="33"/>
      <c r="D15" s="33"/>
    </row>
    <row r="16" spans="1:7" ht="18.75" customHeight="1">
      <c r="A16" s="330" t="s">
        <v>307</v>
      </c>
      <c r="B16" s="329"/>
      <c r="C16" s="331"/>
      <c r="D16" s="332"/>
      <c r="E16" s="184"/>
      <c r="F16" s="55"/>
      <c r="G16" s="55"/>
    </row>
    <row r="17" spans="1:36" ht="46.5" customHeight="1">
      <c r="A17" s="318" t="s">
        <v>90</v>
      </c>
      <c r="B17" s="1369" t="s">
        <v>175</v>
      </c>
      <c r="C17" s="1369"/>
      <c r="D17" s="1370"/>
      <c r="E17" s="39"/>
      <c r="F17" s="39"/>
      <c r="G17" s="39"/>
      <c r="H17" s="39"/>
    </row>
    <row r="18" spans="1:36" ht="19.5" customHeight="1">
      <c r="A18" s="319" t="s">
        <v>615</v>
      </c>
      <c r="B18" s="40" t="s">
        <v>391</v>
      </c>
      <c r="C18" s="40"/>
      <c r="D18" s="883"/>
      <c r="E18" s="39"/>
      <c r="F18" s="39"/>
      <c r="G18" s="39"/>
      <c r="H18" s="39"/>
    </row>
    <row r="19" spans="1:36" ht="18.75" customHeight="1">
      <c r="A19" s="319" t="s">
        <v>616</v>
      </c>
      <c r="B19" s="1353" t="s">
        <v>536</v>
      </c>
      <c r="C19" s="1353"/>
      <c r="D19" s="1354"/>
      <c r="E19" s="1347"/>
      <c r="F19" s="1348"/>
      <c r="G19" s="1348"/>
      <c r="H19" s="39"/>
    </row>
    <row r="20" spans="1:36" ht="18.75" customHeight="1">
      <c r="A20" s="319" t="s">
        <v>542</v>
      </c>
      <c r="B20" s="40" t="s">
        <v>605</v>
      </c>
      <c r="C20" s="40"/>
      <c r="D20" s="883"/>
      <c r="E20" s="45"/>
      <c r="F20" s="39"/>
      <c r="G20" s="39"/>
      <c r="H20" s="39"/>
    </row>
    <row r="21" spans="1:36" ht="33" customHeight="1">
      <c r="A21" s="319" t="s">
        <v>499</v>
      </c>
      <c r="B21" s="1353" t="s">
        <v>613</v>
      </c>
      <c r="C21" s="1353"/>
      <c r="D21" s="1354"/>
      <c r="E21" s="1347"/>
      <c r="F21" s="1348"/>
      <c r="G21" s="1348"/>
      <c r="H21" s="39"/>
    </row>
    <row r="22" spans="1:36" ht="21" customHeight="1">
      <c r="A22" s="319" t="s">
        <v>418</v>
      </c>
      <c r="B22" s="1353" t="s">
        <v>1052</v>
      </c>
      <c r="C22" s="1353"/>
      <c r="D22" s="1354"/>
      <c r="E22" s="42" t="s">
        <v>639</v>
      </c>
      <c r="F22" s="42"/>
    </row>
    <row r="23" spans="1:36" ht="22.5" customHeight="1">
      <c r="A23" s="319" t="s">
        <v>157</v>
      </c>
      <c r="B23" s="1353" t="s">
        <v>158</v>
      </c>
      <c r="C23" s="1353"/>
      <c r="D23" s="1354"/>
      <c r="E23" s="42"/>
      <c r="F23" s="42"/>
    </row>
    <row r="24" spans="1:36" ht="24" customHeight="1">
      <c r="A24" s="320" t="s">
        <v>746</v>
      </c>
      <c r="B24" s="1371" t="s">
        <v>614</v>
      </c>
      <c r="C24" s="1371"/>
      <c r="D24" s="1372"/>
      <c r="E24" s="42"/>
      <c r="F24" s="42"/>
    </row>
    <row r="25" spans="1:36">
      <c r="A25" s="39"/>
      <c r="B25" s="185"/>
      <c r="C25" s="186"/>
      <c r="E25" s="186"/>
      <c r="F25" s="187"/>
      <c r="G25" s="187"/>
      <c r="H25" s="187"/>
    </row>
    <row r="26" spans="1:36">
      <c r="A26" s="39"/>
      <c r="C26" s="84"/>
      <c r="D26" s="85"/>
      <c r="E26" s="84"/>
      <c r="F26" s="42"/>
    </row>
    <row r="27" spans="1:36" ht="25.5" customHeight="1">
      <c r="A27" s="333" t="s">
        <v>747</v>
      </c>
      <c r="B27" s="329"/>
      <c r="C27" s="334"/>
      <c r="D27" s="335"/>
      <c r="E27" s="84"/>
      <c r="F27" s="42"/>
    </row>
    <row r="28" spans="1:36" s="42" customFormat="1" ht="23.25" customHeight="1">
      <c r="A28" s="416" t="s">
        <v>748</v>
      </c>
      <c r="B28" s="752" t="s">
        <v>749</v>
      </c>
      <c r="C28" s="418"/>
      <c r="D28" s="419"/>
      <c r="E28" s="84"/>
      <c r="M28" s="43"/>
      <c r="N28" s="43"/>
      <c r="O28" s="43"/>
      <c r="P28" s="43"/>
      <c r="Q28" s="43"/>
      <c r="R28" s="43"/>
      <c r="S28" s="43"/>
      <c r="T28" s="43"/>
      <c r="U28" s="43"/>
      <c r="V28" s="43"/>
      <c r="W28" s="43"/>
      <c r="X28" s="43"/>
      <c r="Y28" s="43"/>
      <c r="Z28" s="43"/>
      <c r="AA28" s="43"/>
      <c r="AB28" s="43"/>
      <c r="AC28" s="43"/>
      <c r="AD28" s="43"/>
      <c r="AE28" s="43"/>
      <c r="AF28" s="43"/>
      <c r="AG28" s="43"/>
      <c r="AH28" s="43"/>
      <c r="AI28" s="43"/>
      <c r="AJ28" s="43"/>
    </row>
    <row r="29" spans="1:36" ht="15.75">
      <c r="A29" s="420"/>
      <c r="B29" s="426"/>
      <c r="C29" s="422"/>
      <c r="D29" s="423"/>
      <c r="E29" s="84"/>
      <c r="F29" s="42"/>
    </row>
    <row r="30" spans="1:36" ht="15.75">
      <c r="A30" s="427" t="s">
        <v>958</v>
      </c>
      <c r="B30" s="428" t="s">
        <v>959</v>
      </c>
      <c r="C30" s="428" t="s">
        <v>442</v>
      </c>
      <c r="D30" s="429" t="s">
        <v>444</v>
      </c>
      <c r="E30" s="33"/>
    </row>
    <row r="31" spans="1:36" ht="15" customHeight="1">
      <c r="A31" s="430" t="s">
        <v>960</v>
      </c>
      <c r="B31" s="431" t="s">
        <v>32</v>
      </c>
      <c r="C31" s="431" t="s">
        <v>12</v>
      </c>
      <c r="D31" s="432" t="s">
        <v>531</v>
      </c>
      <c r="E31" s="33"/>
    </row>
    <row r="32" spans="1:36" ht="15" customHeight="1">
      <c r="A32" s="430" t="s">
        <v>800</v>
      </c>
      <c r="B32" s="431" t="s">
        <v>920</v>
      </c>
      <c r="C32" s="431" t="s">
        <v>802</v>
      </c>
      <c r="D32" s="432" t="s">
        <v>5</v>
      </c>
      <c r="E32" s="33"/>
    </row>
    <row r="33" spans="1:7" ht="15.75">
      <c r="A33" s="433"/>
      <c r="B33" s="434"/>
      <c r="C33" s="435"/>
      <c r="D33" s="436"/>
    </row>
    <row r="34" spans="1:7">
      <c r="A34" s="178"/>
      <c r="B34" s="179"/>
      <c r="E34" s="83"/>
      <c r="F34" s="50"/>
    </row>
    <row r="35" spans="1:7">
      <c r="A35" s="178"/>
      <c r="B35" s="179"/>
      <c r="E35" s="83"/>
      <c r="F35" s="50"/>
    </row>
    <row r="36" spans="1:7" ht="18.75">
      <c r="A36" s="305" t="s">
        <v>989</v>
      </c>
      <c r="E36" s="83"/>
      <c r="F36" s="50"/>
    </row>
    <row r="37" spans="1:7">
      <c r="A37" s="189"/>
      <c r="E37" s="83"/>
      <c r="F37" s="50"/>
    </row>
    <row r="38" spans="1:7" ht="15.75">
      <c r="A38" s="1101" t="s">
        <v>186</v>
      </c>
      <c r="B38" s="1102" t="s">
        <v>1118</v>
      </c>
      <c r="C38" s="1102" t="s">
        <v>1115</v>
      </c>
      <c r="D38" s="1103" t="s">
        <v>862</v>
      </c>
      <c r="G38" s="64"/>
    </row>
    <row r="39" spans="1:7" ht="5.25" customHeight="1">
      <c r="A39" s="1062"/>
      <c r="B39" s="1104"/>
      <c r="C39" s="1105"/>
      <c r="D39" s="1026"/>
    </row>
    <row r="40" spans="1:7" ht="15" customHeight="1">
      <c r="A40" s="1016" t="s">
        <v>86</v>
      </c>
      <c r="B40" s="1106">
        <v>95364</v>
      </c>
      <c r="C40" s="1106">
        <v>96092</v>
      </c>
      <c r="D40" s="1107">
        <v>139484</v>
      </c>
      <c r="G40" s="834"/>
    </row>
    <row r="41" spans="1:7" ht="15" customHeight="1">
      <c r="A41" s="1016" t="s">
        <v>87</v>
      </c>
      <c r="B41" s="1108">
        <v>9880455830.0199986</v>
      </c>
      <c r="C41" s="1108">
        <v>9977012759.3799992</v>
      </c>
      <c r="D41" s="1026">
        <v>15399324381.5</v>
      </c>
      <c r="G41" s="185"/>
    </row>
    <row r="42" spans="1:7" ht="15" customHeight="1">
      <c r="A42" s="1016" t="s">
        <v>88</v>
      </c>
      <c r="B42" s="1108">
        <v>9359472507.670002</v>
      </c>
      <c r="C42" s="1108">
        <v>9462952915.9799995</v>
      </c>
      <c r="D42" s="1026">
        <v>15206852094.48</v>
      </c>
      <c r="G42" s="185"/>
    </row>
    <row r="43" spans="1:7" ht="15" customHeight="1">
      <c r="A43" s="1016" t="s">
        <v>858</v>
      </c>
      <c r="B43" s="1108">
        <v>98144.714018602433</v>
      </c>
      <c r="C43" s="1108">
        <v>98478.051408858169</v>
      </c>
      <c r="D43" s="1026"/>
      <c r="F43" s="1167"/>
      <c r="G43" s="185"/>
    </row>
    <row r="44" spans="1:7" ht="15" customHeight="1">
      <c r="A44" s="1016" t="s">
        <v>859</v>
      </c>
      <c r="B44" s="1108">
        <v>103607.81668155697</v>
      </c>
      <c r="C44" s="1108">
        <v>103827.7146836365</v>
      </c>
      <c r="D44" s="1026"/>
      <c r="G44" s="185"/>
    </row>
    <row r="45" spans="1:7" ht="15" customHeight="1">
      <c r="A45" s="1016" t="s">
        <v>852</v>
      </c>
      <c r="B45" s="1109">
        <v>240.25</v>
      </c>
      <c r="C45" s="1109">
        <v>240.11</v>
      </c>
      <c r="D45" s="1000">
        <v>241.63</v>
      </c>
      <c r="G45" s="187"/>
    </row>
    <row r="46" spans="1:7" ht="15" customHeight="1">
      <c r="A46" s="1016" t="s">
        <v>854</v>
      </c>
      <c r="B46" s="1110">
        <v>0.57642300000000002</v>
      </c>
      <c r="C46" s="1110">
        <v>0.57617399999999996</v>
      </c>
      <c r="D46" s="1026"/>
      <c r="G46" s="186"/>
    </row>
    <row r="47" spans="1:7" ht="15" customHeight="1">
      <c r="A47" s="1111"/>
      <c r="B47" s="1112"/>
      <c r="C47" s="1113"/>
      <c r="D47" s="1095"/>
    </row>
    <row r="48" spans="1:7" ht="15" customHeight="1">
      <c r="A48" s="829"/>
      <c r="B48" s="676"/>
      <c r="C48" s="35"/>
      <c r="D48" s="183"/>
    </row>
    <row r="49" spans="1:36" ht="15" customHeight="1">
      <c r="A49" s="829"/>
      <c r="B49" s="676"/>
      <c r="C49" s="35"/>
      <c r="D49" s="183"/>
    </row>
    <row r="50" spans="1:36" ht="15" customHeight="1">
      <c r="A50" s="908"/>
      <c r="B50" s="438" t="s">
        <v>176</v>
      </c>
      <c r="C50" s="439" t="s">
        <v>177</v>
      </c>
      <c r="D50" s="438" t="s">
        <v>178</v>
      </c>
      <c r="E50" s="218"/>
    </row>
    <row r="51" spans="1:36" ht="15" customHeight="1">
      <c r="A51" s="307" t="s">
        <v>179</v>
      </c>
      <c r="B51" s="909">
        <v>0</v>
      </c>
      <c r="C51" s="909">
        <v>147.05000000000001</v>
      </c>
      <c r="D51" s="910">
        <v>0.105</v>
      </c>
      <c r="E51" s="753"/>
    </row>
    <row r="52" spans="1:36" ht="15" customHeight="1">
      <c r="A52" s="307" t="s">
        <v>740</v>
      </c>
      <c r="B52" s="663">
        <v>6.7000000000000002E-3</v>
      </c>
      <c r="C52" s="663">
        <v>7.1900000000000006E-2</v>
      </c>
      <c r="D52" s="911">
        <v>2.0011000000000001E-2</v>
      </c>
      <c r="E52" s="218"/>
    </row>
    <row r="53" spans="1:36" ht="15" customHeight="1">
      <c r="A53" s="307" t="s">
        <v>180</v>
      </c>
      <c r="B53" s="663">
        <v>0</v>
      </c>
      <c r="C53" s="663">
        <v>0.9657</v>
      </c>
      <c r="D53" s="448">
        <v>0.59352110000000002</v>
      </c>
      <c r="E53" s="218"/>
    </row>
    <row r="54" spans="1:36" ht="15" customHeight="1">
      <c r="A54" s="307" t="s">
        <v>181</v>
      </c>
      <c r="B54" s="663">
        <v>1E-4</v>
      </c>
      <c r="C54" s="663">
        <v>1.9942</v>
      </c>
      <c r="D54" s="448">
        <v>0.58992900000000004</v>
      </c>
      <c r="E54" s="218"/>
    </row>
    <row r="55" spans="1:36" ht="15" customHeight="1">
      <c r="A55" s="307" t="s">
        <v>182</v>
      </c>
      <c r="B55" s="663">
        <v>1E-4</v>
      </c>
      <c r="C55" s="663">
        <v>0.96509999999999996</v>
      </c>
      <c r="D55" s="448">
        <v>0.52502800000000005</v>
      </c>
      <c r="E55" s="218"/>
    </row>
    <row r="56" spans="1:36" ht="15" customHeight="1">
      <c r="A56" s="307" t="s">
        <v>183</v>
      </c>
      <c r="B56" s="449">
        <v>0</v>
      </c>
      <c r="C56" s="912">
        <v>999891.53</v>
      </c>
      <c r="D56" s="912">
        <v>171763.72320000001</v>
      </c>
      <c r="E56" s="218"/>
    </row>
    <row r="57" spans="1:36" ht="15" customHeight="1">
      <c r="A57" s="307" t="s">
        <v>184</v>
      </c>
      <c r="B57" s="913">
        <v>0</v>
      </c>
      <c r="C57" s="913">
        <v>33</v>
      </c>
      <c r="D57" s="910">
        <v>14.43</v>
      </c>
      <c r="E57" s="218"/>
    </row>
    <row r="58" spans="1:36" ht="15" customHeight="1">
      <c r="A58" s="309" t="s">
        <v>185</v>
      </c>
      <c r="B58" s="914">
        <v>15</v>
      </c>
      <c r="C58" s="914">
        <v>104</v>
      </c>
      <c r="D58" s="915">
        <v>62.34</v>
      </c>
      <c r="E58" s="218"/>
    </row>
    <row r="59" spans="1:36" ht="15" customHeight="1">
      <c r="A59" s="829" t="s">
        <v>741</v>
      </c>
      <c r="B59" s="835"/>
      <c r="C59" s="835"/>
      <c r="D59" s="836"/>
      <c r="E59" s="218"/>
    </row>
    <row r="60" spans="1:36" ht="15" customHeight="1">
      <c r="A60" s="675" t="s">
        <v>1119</v>
      </c>
      <c r="B60" s="676"/>
      <c r="C60" s="35"/>
      <c r="D60" s="183"/>
    </row>
    <row r="61" spans="1:36">
      <c r="A61" s="837" t="s">
        <v>742</v>
      </c>
      <c r="B61" s="838"/>
      <c r="C61" s="35"/>
      <c r="D61" s="35"/>
      <c r="E61" s="33"/>
      <c r="F61" s="193"/>
      <c r="G61" s="87"/>
    </row>
    <row r="63" spans="1:36" s="1232" customFormat="1">
      <c r="A63" s="1229"/>
      <c r="B63" s="1230"/>
      <c r="C63" s="1231"/>
      <c r="F63" s="1233"/>
      <c r="G63" s="1234"/>
      <c r="M63" s="1235"/>
      <c r="N63" s="1235"/>
      <c r="O63" s="1235"/>
      <c r="P63" s="1235"/>
      <c r="Q63" s="1235"/>
      <c r="R63" s="1235"/>
      <c r="S63" s="1235"/>
      <c r="T63" s="1235"/>
      <c r="U63" s="1235"/>
      <c r="V63" s="1235"/>
      <c r="W63" s="1235"/>
      <c r="X63" s="1235"/>
      <c r="Y63" s="1235"/>
      <c r="Z63" s="1235"/>
      <c r="AA63" s="1235"/>
      <c r="AB63" s="1235"/>
      <c r="AC63" s="1235"/>
      <c r="AD63" s="1235"/>
      <c r="AE63" s="1235"/>
      <c r="AF63" s="1235"/>
      <c r="AG63" s="1235"/>
      <c r="AH63" s="1235"/>
      <c r="AI63" s="1235"/>
      <c r="AJ63" s="1235"/>
    </row>
    <row r="64" spans="1:36" s="1232" customFormat="1" ht="18.75">
      <c r="A64" s="1236" t="s">
        <v>419</v>
      </c>
      <c r="B64" s="1230"/>
      <c r="C64" s="1231"/>
      <c r="F64" s="1233"/>
      <c r="G64" s="1234"/>
      <c r="M64" s="1235"/>
      <c r="N64" s="1235"/>
      <c r="O64" s="1235"/>
      <c r="P64" s="1235"/>
      <c r="Q64" s="1235"/>
      <c r="R64" s="1235"/>
      <c r="S64" s="1235"/>
      <c r="T64" s="1235"/>
      <c r="U64" s="1235"/>
      <c r="V64" s="1235"/>
      <c r="W64" s="1235"/>
      <c r="X64" s="1235"/>
      <c r="Y64" s="1235"/>
      <c r="Z64" s="1235"/>
      <c r="AA64" s="1235"/>
      <c r="AB64" s="1235"/>
      <c r="AC64" s="1235"/>
      <c r="AD64" s="1235"/>
      <c r="AE64" s="1235"/>
      <c r="AF64" s="1235"/>
      <c r="AG64" s="1235"/>
      <c r="AH64" s="1235"/>
      <c r="AI64" s="1235"/>
      <c r="AJ64" s="1235"/>
    </row>
    <row r="65" spans="1:36" s="1232" customFormat="1">
      <c r="A65" s="1229"/>
      <c r="B65" s="1230"/>
      <c r="C65" s="1231"/>
      <c r="F65" s="1233"/>
      <c r="G65" s="1234"/>
      <c r="M65" s="1235"/>
      <c r="N65" s="1235"/>
      <c r="O65" s="1235"/>
      <c r="P65" s="1235"/>
      <c r="Q65" s="1235"/>
      <c r="R65" s="1235"/>
      <c r="S65" s="1235"/>
      <c r="T65" s="1235"/>
      <c r="U65" s="1235"/>
      <c r="V65" s="1235"/>
      <c r="W65" s="1235"/>
      <c r="X65" s="1235"/>
      <c r="Y65" s="1235"/>
      <c r="Z65" s="1235"/>
      <c r="AA65" s="1235"/>
      <c r="AB65" s="1235"/>
      <c r="AC65" s="1235"/>
      <c r="AD65" s="1235"/>
      <c r="AE65" s="1235"/>
      <c r="AF65" s="1235"/>
      <c r="AG65" s="1235"/>
      <c r="AH65" s="1235"/>
      <c r="AI65" s="1235"/>
      <c r="AJ65" s="1235"/>
    </row>
    <row r="66" spans="1:36" s="1232" customFormat="1" ht="15" customHeight="1">
      <c r="A66" s="1237" t="s">
        <v>717</v>
      </c>
      <c r="B66" s="1230"/>
      <c r="C66" s="1238"/>
      <c r="F66" s="1233"/>
      <c r="G66" s="1237" t="s">
        <v>343</v>
      </c>
      <c r="H66" s="1230"/>
      <c r="I66" s="1231"/>
      <c r="J66" s="1230"/>
      <c r="K66" s="1231"/>
      <c r="M66" s="1235"/>
      <c r="N66" s="1235"/>
      <c r="O66" s="1235"/>
      <c r="P66" s="1235"/>
      <c r="Q66" s="1235"/>
      <c r="R66" s="1235"/>
      <c r="S66" s="1235"/>
      <c r="T66" s="1235"/>
      <c r="U66" s="1235"/>
      <c r="V66" s="1235"/>
      <c r="W66" s="1235"/>
      <c r="X66" s="1235"/>
      <c r="Y66" s="1235"/>
      <c r="Z66" s="1235"/>
      <c r="AA66" s="1235"/>
      <c r="AB66" s="1235"/>
      <c r="AC66" s="1235"/>
      <c r="AD66" s="1235"/>
      <c r="AE66" s="1235"/>
      <c r="AF66" s="1235"/>
      <c r="AG66" s="1235"/>
      <c r="AH66" s="1235"/>
      <c r="AI66" s="1235"/>
      <c r="AJ66" s="1235"/>
    </row>
    <row r="67" spans="1:36" s="1232" customFormat="1">
      <c r="A67" s="1239" t="s">
        <v>990</v>
      </c>
      <c r="B67" s="1240" t="s">
        <v>934</v>
      </c>
      <c r="C67" s="1241" t="s">
        <v>991</v>
      </c>
      <c r="D67" s="1240" t="s">
        <v>992</v>
      </c>
      <c r="E67" s="1241" t="s">
        <v>936</v>
      </c>
      <c r="F67" s="1242"/>
      <c r="G67" s="1243" t="s">
        <v>990</v>
      </c>
      <c r="H67" s="1240" t="s">
        <v>934</v>
      </c>
      <c r="I67" s="1241" t="s">
        <v>991</v>
      </c>
      <c r="J67" s="1240" t="s">
        <v>882</v>
      </c>
      <c r="K67" s="1241" t="s">
        <v>991</v>
      </c>
      <c r="M67" s="1235"/>
      <c r="N67" s="1235"/>
      <c r="O67" s="1235"/>
      <c r="P67" s="1235"/>
      <c r="Q67" s="1235"/>
      <c r="R67" s="1235"/>
      <c r="S67" s="1235"/>
      <c r="T67" s="1235"/>
      <c r="U67" s="1235"/>
      <c r="V67" s="1235"/>
      <c r="W67" s="1235"/>
      <c r="X67" s="1235"/>
      <c r="Y67" s="1235"/>
      <c r="Z67" s="1235"/>
      <c r="AA67" s="1235"/>
      <c r="AB67" s="1235"/>
      <c r="AC67" s="1235"/>
      <c r="AD67" s="1235"/>
      <c r="AE67" s="1235"/>
      <c r="AF67" s="1235"/>
      <c r="AG67" s="1235"/>
      <c r="AH67" s="1235"/>
      <c r="AI67" s="1235"/>
      <c r="AJ67" s="1235"/>
    </row>
    <row r="68" spans="1:36" s="1232" customFormat="1">
      <c r="A68" s="1244" t="s">
        <v>993</v>
      </c>
      <c r="B68" s="1245">
        <v>153796.37</v>
      </c>
      <c r="C68" s="1246">
        <v>2.0000000000000002E-5</v>
      </c>
      <c r="D68" s="1247">
        <v>1</v>
      </c>
      <c r="E68" s="1246">
        <v>1.0000000000000001E-5</v>
      </c>
      <c r="F68" s="1233"/>
      <c r="G68" s="1244" t="s">
        <v>268</v>
      </c>
      <c r="H68" s="1245">
        <v>284678597.02999997</v>
      </c>
      <c r="I68" s="1246">
        <v>2.8809999999999999E-2</v>
      </c>
      <c r="J68" s="1247">
        <v>4730</v>
      </c>
      <c r="K68" s="1246">
        <v>4.9599999999999998E-2</v>
      </c>
      <c r="M68" s="1235"/>
      <c r="N68" s="1235"/>
      <c r="O68" s="1235"/>
      <c r="P68" s="1235"/>
      <c r="Q68" s="1235"/>
      <c r="R68" s="1235"/>
      <c r="S68" s="1235"/>
      <c r="T68" s="1235"/>
      <c r="U68" s="1235"/>
      <c r="V68" s="1235"/>
      <c r="W68" s="1235"/>
      <c r="X68" s="1235"/>
      <c r="Y68" s="1235"/>
      <c r="Z68" s="1235"/>
      <c r="AA68" s="1235"/>
      <c r="AB68" s="1235"/>
      <c r="AC68" s="1235"/>
      <c r="AD68" s="1235"/>
      <c r="AE68" s="1235"/>
      <c r="AF68" s="1235"/>
      <c r="AG68" s="1235"/>
      <c r="AH68" s="1235"/>
      <c r="AI68" s="1235"/>
      <c r="AJ68" s="1235"/>
    </row>
    <row r="69" spans="1:36" s="1232" customFormat="1">
      <c r="A69" s="1244" t="s">
        <v>994</v>
      </c>
      <c r="B69" s="1245">
        <v>1168161.8</v>
      </c>
      <c r="C69" s="1246">
        <v>1.2E-4</v>
      </c>
      <c r="D69" s="1247">
        <v>15</v>
      </c>
      <c r="E69" s="1246">
        <v>1.6000000000000001E-4</v>
      </c>
      <c r="F69" s="1233"/>
      <c r="G69" s="1244" t="s">
        <v>269</v>
      </c>
      <c r="H69" s="1245">
        <v>456219118.92000002</v>
      </c>
      <c r="I69" s="1246">
        <v>4.6170000000000003E-2</v>
      </c>
      <c r="J69" s="1247">
        <v>6480</v>
      </c>
      <c r="K69" s="1246">
        <v>6.7949999999999997E-2</v>
      </c>
      <c r="M69" s="1235"/>
      <c r="N69" s="1235"/>
      <c r="O69" s="1235"/>
      <c r="P69" s="1235"/>
      <c r="Q69" s="1235"/>
      <c r="R69" s="1235"/>
      <c r="S69" s="1235"/>
      <c r="T69" s="1235"/>
      <c r="U69" s="1235"/>
      <c r="V69" s="1235"/>
      <c r="W69" s="1235"/>
      <c r="X69" s="1235"/>
      <c r="Y69" s="1235"/>
      <c r="Z69" s="1235"/>
      <c r="AA69" s="1235"/>
      <c r="AB69" s="1235"/>
      <c r="AC69" s="1235"/>
      <c r="AD69" s="1235"/>
      <c r="AE69" s="1235"/>
      <c r="AF69" s="1235"/>
      <c r="AG69" s="1235"/>
      <c r="AH69" s="1235"/>
      <c r="AI69" s="1235"/>
      <c r="AJ69" s="1235"/>
    </row>
    <row r="70" spans="1:36" s="1232" customFormat="1">
      <c r="A70" s="1244" t="s">
        <v>995</v>
      </c>
      <c r="B70" s="1245">
        <v>95934971.420000002</v>
      </c>
      <c r="C70" s="1246">
        <v>9.7099999999999999E-3</v>
      </c>
      <c r="D70" s="1247">
        <v>1402</v>
      </c>
      <c r="E70" s="1246">
        <v>1.47E-2</v>
      </c>
      <c r="F70" s="1242"/>
      <c r="G70" s="1244" t="s">
        <v>270</v>
      </c>
      <c r="H70" s="1245">
        <v>487028570.75</v>
      </c>
      <c r="I70" s="1246">
        <v>4.929E-2</v>
      </c>
      <c r="J70" s="1247">
        <v>6298</v>
      </c>
      <c r="K70" s="1246">
        <v>6.6040000000000001E-2</v>
      </c>
      <c r="M70" s="1235"/>
      <c r="N70" s="1235"/>
      <c r="O70" s="1235"/>
      <c r="P70" s="1235"/>
      <c r="Q70" s="1235"/>
      <c r="R70" s="1235"/>
      <c r="S70" s="1235"/>
      <c r="T70" s="1235"/>
      <c r="U70" s="1235"/>
      <c r="V70" s="1235"/>
      <c r="W70" s="1235"/>
      <c r="X70" s="1235"/>
      <c r="Y70" s="1235"/>
      <c r="Z70" s="1235"/>
      <c r="AA70" s="1235"/>
      <c r="AB70" s="1235"/>
      <c r="AC70" s="1235"/>
      <c r="AD70" s="1235"/>
      <c r="AE70" s="1235"/>
      <c r="AF70" s="1235"/>
      <c r="AG70" s="1235"/>
      <c r="AH70" s="1235"/>
      <c r="AI70" s="1235"/>
      <c r="AJ70" s="1235"/>
    </row>
    <row r="71" spans="1:36" s="1232" customFormat="1">
      <c r="A71" s="1244" t="s">
        <v>996</v>
      </c>
      <c r="B71" s="1245">
        <v>184185557.69999999</v>
      </c>
      <c r="C71" s="1246">
        <v>1.864E-2</v>
      </c>
      <c r="D71" s="1247">
        <v>2966</v>
      </c>
      <c r="E71" s="1246">
        <v>3.1099999999999999E-2</v>
      </c>
      <c r="F71" s="1233"/>
      <c r="G71" s="1244" t="s">
        <v>271</v>
      </c>
      <c r="H71" s="1245">
        <v>596401660.69000006</v>
      </c>
      <c r="I71" s="1246">
        <v>6.0359999999999997E-2</v>
      </c>
      <c r="J71" s="1247">
        <v>7265</v>
      </c>
      <c r="K71" s="1246">
        <v>7.6179999999999998E-2</v>
      </c>
      <c r="M71" s="1235"/>
      <c r="N71" s="1235"/>
      <c r="O71" s="1235"/>
      <c r="P71" s="1235"/>
      <c r="Q71" s="1235"/>
      <c r="R71" s="1235"/>
      <c r="S71" s="1235"/>
      <c r="T71" s="1235"/>
      <c r="U71" s="1235"/>
      <c r="V71" s="1235"/>
      <c r="W71" s="1235"/>
      <c r="X71" s="1235"/>
      <c r="Y71" s="1235"/>
      <c r="Z71" s="1235"/>
      <c r="AA71" s="1235"/>
      <c r="AB71" s="1235"/>
      <c r="AC71" s="1235"/>
      <c r="AD71" s="1235"/>
      <c r="AE71" s="1235"/>
      <c r="AF71" s="1235"/>
      <c r="AG71" s="1235"/>
      <c r="AH71" s="1235"/>
      <c r="AI71" s="1235"/>
      <c r="AJ71" s="1235"/>
    </row>
    <row r="72" spans="1:36" s="1232" customFormat="1">
      <c r="A72" s="1244" t="s">
        <v>997</v>
      </c>
      <c r="B72" s="1245">
        <v>576063782.37</v>
      </c>
      <c r="C72" s="1246">
        <v>5.8299999999999998E-2</v>
      </c>
      <c r="D72" s="1247">
        <v>7922</v>
      </c>
      <c r="E72" s="1246">
        <v>8.3070000000000005E-2</v>
      </c>
      <c r="F72" s="1233"/>
      <c r="G72" s="1244" t="s">
        <v>272</v>
      </c>
      <c r="H72" s="1245">
        <v>807197254.96000004</v>
      </c>
      <c r="I72" s="1246">
        <v>8.1699999999999995E-2</v>
      </c>
      <c r="J72" s="1247">
        <v>8741</v>
      </c>
      <c r="K72" s="1246">
        <v>9.1660000000000005E-2</v>
      </c>
      <c r="M72" s="1235"/>
      <c r="N72" s="1235"/>
      <c r="O72" s="1235"/>
      <c r="P72" s="1235"/>
      <c r="Q72" s="1235"/>
      <c r="R72" s="1235"/>
      <c r="S72" s="1235"/>
      <c r="T72" s="1235"/>
      <c r="U72" s="1235"/>
      <c r="V72" s="1235"/>
      <c r="W72" s="1235"/>
      <c r="X72" s="1235"/>
      <c r="Y72" s="1235"/>
      <c r="Z72" s="1235"/>
      <c r="AA72" s="1235"/>
      <c r="AB72" s="1235"/>
      <c r="AC72" s="1235"/>
      <c r="AD72" s="1235"/>
      <c r="AE72" s="1235"/>
      <c r="AF72" s="1235"/>
      <c r="AG72" s="1235"/>
      <c r="AH72" s="1235"/>
      <c r="AI72" s="1235"/>
      <c r="AJ72" s="1235"/>
    </row>
    <row r="73" spans="1:36" s="1232" customFormat="1">
      <c r="A73" s="1244" t="s">
        <v>998</v>
      </c>
      <c r="B73" s="1245">
        <v>385248928.42000002</v>
      </c>
      <c r="C73" s="1246">
        <v>3.8989999999999997E-2</v>
      </c>
      <c r="D73" s="1247">
        <v>5116</v>
      </c>
      <c r="E73" s="1246">
        <v>5.3650000000000003E-2</v>
      </c>
      <c r="F73" s="1242"/>
      <c r="G73" s="1244" t="s">
        <v>273</v>
      </c>
      <c r="H73" s="1245">
        <v>828259163.97000003</v>
      </c>
      <c r="I73" s="1246">
        <v>8.3830000000000002E-2</v>
      </c>
      <c r="J73" s="1247">
        <v>8437</v>
      </c>
      <c r="K73" s="1246">
        <v>8.8469999999999993E-2</v>
      </c>
      <c r="M73" s="1235"/>
      <c r="N73" s="1235"/>
      <c r="O73" s="1235"/>
      <c r="P73" s="1235"/>
      <c r="Q73" s="1235"/>
      <c r="R73" s="1235"/>
      <c r="S73" s="1235"/>
      <c r="T73" s="1235"/>
      <c r="U73" s="1235"/>
      <c r="V73" s="1235"/>
      <c r="W73" s="1235"/>
      <c r="X73" s="1235"/>
      <c r="Y73" s="1235"/>
      <c r="Z73" s="1235"/>
      <c r="AA73" s="1235"/>
      <c r="AB73" s="1235"/>
      <c r="AC73" s="1235"/>
      <c r="AD73" s="1235"/>
      <c r="AE73" s="1235"/>
      <c r="AF73" s="1235"/>
      <c r="AG73" s="1235"/>
      <c r="AH73" s="1235"/>
      <c r="AI73" s="1235"/>
      <c r="AJ73" s="1235"/>
    </row>
    <row r="74" spans="1:36" s="1232" customFormat="1">
      <c r="A74" s="1244" t="s">
        <v>999</v>
      </c>
      <c r="B74" s="1245">
        <v>489881071.75999999</v>
      </c>
      <c r="C74" s="1246">
        <v>4.9579999999999999E-2</v>
      </c>
      <c r="D74" s="1247">
        <v>5856</v>
      </c>
      <c r="E74" s="1246">
        <v>6.1409999999999999E-2</v>
      </c>
      <c r="F74" s="1233"/>
      <c r="G74" s="1244" t="s">
        <v>274</v>
      </c>
      <c r="H74" s="1245">
        <v>1308171353.8499999</v>
      </c>
      <c r="I74" s="1246">
        <v>0.13239999999999999</v>
      </c>
      <c r="J74" s="1247">
        <v>12092</v>
      </c>
      <c r="K74" s="1246">
        <v>0.1268</v>
      </c>
      <c r="M74" s="1235"/>
      <c r="N74" s="1235"/>
      <c r="O74" s="1235"/>
      <c r="P74" s="1235"/>
      <c r="Q74" s="1235"/>
      <c r="R74" s="1235"/>
      <c r="S74" s="1235"/>
      <c r="T74" s="1235"/>
      <c r="U74" s="1235"/>
      <c r="V74" s="1235"/>
      <c r="W74" s="1235"/>
      <c r="X74" s="1235"/>
      <c r="Y74" s="1235"/>
      <c r="Z74" s="1235"/>
      <c r="AA74" s="1235"/>
      <c r="AB74" s="1235"/>
      <c r="AC74" s="1235"/>
      <c r="AD74" s="1235"/>
      <c r="AE74" s="1235"/>
      <c r="AF74" s="1235"/>
      <c r="AG74" s="1235"/>
      <c r="AH74" s="1235"/>
      <c r="AI74" s="1235"/>
      <c r="AJ74" s="1235"/>
    </row>
    <row r="75" spans="1:36" s="1232" customFormat="1">
      <c r="A75" s="1244" t="s">
        <v>1000</v>
      </c>
      <c r="B75" s="1245">
        <v>1007016246.45</v>
      </c>
      <c r="C75" s="1246">
        <v>0.10192</v>
      </c>
      <c r="D75" s="1247">
        <v>10960</v>
      </c>
      <c r="E75" s="1246">
        <v>0.11493</v>
      </c>
      <c r="F75" s="1233"/>
      <c r="G75" s="1244" t="s">
        <v>275</v>
      </c>
      <c r="H75" s="1245">
        <v>1237409037.47</v>
      </c>
      <c r="I75" s="1246">
        <v>0.12523999999999999</v>
      </c>
      <c r="J75" s="1247">
        <v>10989</v>
      </c>
      <c r="K75" s="1246">
        <v>0.11523</v>
      </c>
      <c r="M75" s="1235"/>
      <c r="N75" s="1235"/>
      <c r="O75" s="1235"/>
      <c r="P75" s="1235"/>
      <c r="Q75" s="1235"/>
      <c r="R75" s="1235"/>
      <c r="S75" s="1235"/>
      <c r="T75" s="1235"/>
      <c r="U75" s="1235"/>
      <c r="V75" s="1235"/>
      <c r="W75" s="1235"/>
      <c r="X75" s="1235"/>
      <c r="Y75" s="1235"/>
      <c r="Z75" s="1235"/>
      <c r="AA75" s="1235"/>
      <c r="AB75" s="1235"/>
      <c r="AC75" s="1235"/>
      <c r="AD75" s="1235"/>
      <c r="AE75" s="1235"/>
      <c r="AF75" s="1235"/>
      <c r="AG75" s="1235"/>
      <c r="AH75" s="1235"/>
      <c r="AI75" s="1235"/>
      <c r="AJ75" s="1235"/>
    </row>
    <row r="76" spans="1:36" s="1232" customFormat="1">
      <c r="A76" s="1244" t="s">
        <v>1001</v>
      </c>
      <c r="B76" s="1245">
        <v>859201331.36000001</v>
      </c>
      <c r="C76" s="1246">
        <v>8.6959999999999996E-2</v>
      </c>
      <c r="D76" s="1247">
        <v>8528</v>
      </c>
      <c r="E76" s="1246">
        <v>8.9429999999999996E-2</v>
      </c>
      <c r="F76" s="1242"/>
      <c r="G76" s="1244" t="s">
        <v>276</v>
      </c>
      <c r="H76" s="1245">
        <v>1436266282.0899999</v>
      </c>
      <c r="I76" s="1246">
        <v>0.14535999999999999</v>
      </c>
      <c r="J76" s="1247">
        <v>11810</v>
      </c>
      <c r="K76" s="1246">
        <v>0.12384000000000001</v>
      </c>
      <c r="M76" s="1235"/>
      <c r="N76" s="1235"/>
      <c r="O76" s="1235"/>
      <c r="P76" s="1235"/>
      <c r="Q76" s="1235"/>
      <c r="R76" s="1235"/>
      <c r="S76" s="1235"/>
      <c r="T76" s="1235"/>
      <c r="U76" s="1235"/>
      <c r="V76" s="1235"/>
      <c r="W76" s="1235"/>
      <c r="X76" s="1235"/>
      <c r="Y76" s="1235"/>
      <c r="Z76" s="1235"/>
      <c r="AA76" s="1235"/>
      <c r="AB76" s="1235"/>
      <c r="AC76" s="1235"/>
      <c r="AD76" s="1235"/>
      <c r="AE76" s="1235"/>
      <c r="AF76" s="1235"/>
      <c r="AG76" s="1235"/>
      <c r="AH76" s="1235"/>
      <c r="AI76" s="1235"/>
      <c r="AJ76" s="1235"/>
    </row>
    <row r="77" spans="1:36" s="1232" customFormat="1">
      <c r="A77" s="1244" t="s">
        <v>1002</v>
      </c>
      <c r="B77" s="1245">
        <v>1620403984.3199999</v>
      </c>
      <c r="C77" s="1246">
        <v>0.16400000000000001</v>
      </c>
      <c r="D77" s="1247">
        <v>14398</v>
      </c>
      <c r="E77" s="1246">
        <v>0.15098</v>
      </c>
      <c r="F77" s="1233"/>
      <c r="G77" s="1244" t="s">
        <v>277</v>
      </c>
      <c r="H77" s="1245">
        <v>1152214178.95</v>
      </c>
      <c r="I77" s="1246">
        <v>0.11662</v>
      </c>
      <c r="J77" s="1247">
        <v>8786</v>
      </c>
      <c r="K77" s="1246">
        <v>9.2130000000000004E-2</v>
      </c>
      <c r="M77" s="1235"/>
      <c r="N77" s="1235"/>
      <c r="O77" s="1235"/>
      <c r="P77" s="1235"/>
      <c r="Q77" s="1235"/>
      <c r="R77" s="1235"/>
      <c r="S77" s="1235"/>
      <c r="T77" s="1235"/>
      <c r="U77" s="1235"/>
      <c r="V77" s="1235"/>
      <c r="W77" s="1235"/>
      <c r="X77" s="1235"/>
      <c r="Y77" s="1235"/>
      <c r="Z77" s="1235"/>
      <c r="AA77" s="1235"/>
      <c r="AB77" s="1235"/>
      <c r="AC77" s="1235"/>
      <c r="AD77" s="1235"/>
      <c r="AE77" s="1235"/>
      <c r="AF77" s="1235"/>
      <c r="AG77" s="1235"/>
      <c r="AH77" s="1235"/>
      <c r="AI77" s="1235"/>
      <c r="AJ77" s="1235"/>
    </row>
    <row r="78" spans="1:36" s="1232" customFormat="1">
      <c r="A78" s="1244" t="s">
        <v>1003</v>
      </c>
      <c r="B78" s="1245">
        <v>836882040.25999999</v>
      </c>
      <c r="C78" s="1246">
        <v>8.4699999999999998E-2</v>
      </c>
      <c r="D78" s="1247">
        <v>7559</v>
      </c>
      <c r="E78" s="1246">
        <v>7.9259999999999997E-2</v>
      </c>
      <c r="F78" s="1234"/>
      <c r="G78" s="1244" t="s">
        <v>278</v>
      </c>
      <c r="H78" s="1245">
        <v>353104718.24000001</v>
      </c>
      <c r="I78" s="1246">
        <v>3.5740000000000001E-2</v>
      </c>
      <c r="J78" s="1247">
        <v>2677</v>
      </c>
      <c r="K78" s="1246">
        <v>2.8070000000000001E-2</v>
      </c>
      <c r="L78" s="1235"/>
      <c r="M78" s="1235"/>
      <c r="N78" s="1235"/>
      <c r="O78" s="1235"/>
      <c r="P78" s="1235"/>
      <c r="Q78" s="1235"/>
      <c r="R78" s="1235"/>
      <c r="S78" s="1235"/>
      <c r="T78" s="1235"/>
      <c r="U78" s="1235"/>
      <c r="V78" s="1235"/>
      <c r="W78" s="1235"/>
      <c r="X78" s="1235"/>
      <c r="Y78" s="1235"/>
      <c r="Z78" s="1235"/>
    </row>
    <row r="79" spans="1:36" s="1232" customFormat="1">
      <c r="A79" s="1244" t="s">
        <v>1004</v>
      </c>
      <c r="B79" s="1245">
        <v>994753522.26999998</v>
      </c>
      <c r="C79" s="1246">
        <v>0.10068000000000001</v>
      </c>
      <c r="D79" s="1247">
        <v>8348</v>
      </c>
      <c r="E79" s="1246">
        <v>8.7540000000000007E-2</v>
      </c>
      <c r="F79" s="1234"/>
      <c r="G79" s="1244" t="s">
        <v>279</v>
      </c>
      <c r="H79" s="1245">
        <v>427256556.17000002</v>
      </c>
      <c r="I79" s="1246">
        <v>4.3240000000000001E-2</v>
      </c>
      <c r="J79" s="1247">
        <v>3115</v>
      </c>
      <c r="K79" s="1246">
        <v>3.2660000000000002E-2</v>
      </c>
      <c r="L79" s="1235"/>
      <c r="M79" s="1235"/>
      <c r="N79" s="1235"/>
      <c r="O79" s="1235"/>
      <c r="P79" s="1235"/>
      <c r="Q79" s="1235"/>
      <c r="R79" s="1235"/>
      <c r="S79" s="1235"/>
      <c r="T79" s="1235"/>
      <c r="U79" s="1235"/>
      <c r="V79" s="1235"/>
      <c r="W79" s="1235"/>
      <c r="X79" s="1235"/>
      <c r="Y79" s="1235"/>
      <c r="Z79" s="1235"/>
    </row>
    <row r="80" spans="1:36" s="1232" customFormat="1">
      <c r="A80" s="1244" t="s">
        <v>1005</v>
      </c>
      <c r="B80" s="1245">
        <v>1964734129.0699999</v>
      </c>
      <c r="C80" s="1246">
        <v>0.19885</v>
      </c>
      <c r="D80" s="1247">
        <v>15255</v>
      </c>
      <c r="E80" s="1246">
        <v>0.15997</v>
      </c>
      <c r="F80" s="1234"/>
      <c r="G80" s="1244" t="s">
        <v>803</v>
      </c>
      <c r="H80" s="1245">
        <v>154845083.50999999</v>
      </c>
      <c r="I80" s="1246">
        <v>1.567E-2</v>
      </c>
      <c r="J80" s="1247">
        <v>1263</v>
      </c>
      <c r="K80" s="1246">
        <v>1.324E-2</v>
      </c>
      <c r="L80" s="1235"/>
      <c r="M80" s="1235"/>
      <c r="N80" s="1235"/>
      <c r="O80" s="1235"/>
      <c r="P80" s="1235"/>
      <c r="Q80" s="1235"/>
      <c r="R80" s="1235"/>
      <c r="S80" s="1235"/>
      <c r="T80" s="1235"/>
      <c r="U80" s="1235"/>
      <c r="V80" s="1235"/>
      <c r="W80" s="1235"/>
      <c r="X80" s="1235"/>
      <c r="Y80" s="1235"/>
      <c r="Z80" s="1235"/>
    </row>
    <row r="81" spans="1:36" s="1232" customFormat="1">
      <c r="A81" s="1244" t="s">
        <v>1006</v>
      </c>
      <c r="B81" s="1245">
        <v>183297639.78999999</v>
      </c>
      <c r="C81" s="1246">
        <v>1.8550000000000001E-2</v>
      </c>
      <c r="D81" s="1247">
        <v>1538</v>
      </c>
      <c r="E81" s="1246">
        <v>1.6129999999999999E-2</v>
      </c>
      <c r="F81" s="1234"/>
      <c r="G81" s="1244" t="s">
        <v>804</v>
      </c>
      <c r="H81" s="1245">
        <v>168594810.53</v>
      </c>
      <c r="I81" s="1246">
        <v>1.7059999999999999E-2</v>
      </c>
      <c r="J81" s="1247">
        <v>1252</v>
      </c>
      <c r="K81" s="1246">
        <v>1.3129999999999999E-2</v>
      </c>
      <c r="M81" s="1235"/>
      <c r="N81" s="1235"/>
      <c r="O81" s="1235"/>
      <c r="P81" s="1235"/>
      <c r="Q81" s="1235"/>
      <c r="R81" s="1235"/>
      <c r="S81" s="1235"/>
      <c r="T81" s="1235"/>
      <c r="U81" s="1235"/>
      <c r="V81" s="1235"/>
      <c r="W81" s="1235"/>
      <c r="X81" s="1235"/>
      <c r="Y81" s="1235"/>
      <c r="Z81" s="1235"/>
      <c r="AA81" s="1235"/>
      <c r="AB81" s="1235"/>
      <c r="AC81" s="1235"/>
      <c r="AD81" s="1235"/>
      <c r="AE81" s="1235"/>
      <c r="AF81" s="1235"/>
      <c r="AG81" s="1235"/>
      <c r="AH81" s="1235"/>
      <c r="AI81" s="1235"/>
      <c r="AJ81" s="1235"/>
    </row>
    <row r="82" spans="1:36" s="1232" customFormat="1">
      <c r="A82" s="1244" t="s">
        <v>1007</v>
      </c>
      <c r="B82" s="1245">
        <v>396818112.63</v>
      </c>
      <c r="C82" s="1246">
        <v>4.0160000000000001E-2</v>
      </c>
      <c r="D82" s="1247">
        <v>3153</v>
      </c>
      <c r="E82" s="1246">
        <v>3.3059999999999999E-2</v>
      </c>
      <c r="F82" s="1234"/>
      <c r="G82" s="1244" t="s">
        <v>805</v>
      </c>
      <c r="H82" s="1245">
        <v>111050224.5</v>
      </c>
      <c r="I82" s="1246">
        <v>1.124E-2</v>
      </c>
      <c r="J82" s="1247">
        <v>935</v>
      </c>
      <c r="K82" s="1246">
        <v>9.7999999999999997E-3</v>
      </c>
      <c r="M82" s="1235"/>
      <c r="N82" s="1235"/>
      <c r="O82" s="1235"/>
      <c r="P82" s="1235"/>
      <c r="Q82" s="1235"/>
      <c r="R82" s="1235"/>
      <c r="S82" s="1235"/>
      <c r="T82" s="1235"/>
      <c r="U82" s="1235"/>
      <c r="V82" s="1235"/>
      <c r="W82" s="1235"/>
      <c r="X82" s="1235"/>
      <c r="Y82" s="1235"/>
      <c r="Z82" s="1235"/>
      <c r="AA82" s="1235"/>
      <c r="AB82" s="1235"/>
      <c r="AC82" s="1235"/>
      <c r="AD82" s="1235"/>
      <c r="AE82" s="1235"/>
      <c r="AF82" s="1235"/>
      <c r="AG82" s="1235"/>
      <c r="AH82" s="1235"/>
      <c r="AI82" s="1235"/>
      <c r="AJ82" s="1235"/>
    </row>
    <row r="83" spans="1:36" s="1232" customFormat="1">
      <c r="A83" s="1244" t="s">
        <v>1008</v>
      </c>
      <c r="B83" s="1245">
        <v>38929685.960000001</v>
      </c>
      <c r="C83" s="1246">
        <v>3.9399999999999999E-3</v>
      </c>
      <c r="D83" s="1247">
        <v>301</v>
      </c>
      <c r="E83" s="1246">
        <v>3.16E-3</v>
      </c>
      <c r="F83" s="1234"/>
      <c r="G83" s="1244" t="s">
        <v>806</v>
      </c>
      <c r="H83" s="1245">
        <v>34689637.899999999</v>
      </c>
      <c r="I83" s="1246">
        <v>3.5100000000000001E-3</v>
      </c>
      <c r="J83" s="1247">
        <v>242</v>
      </c>
      <c r="K83" s="1246">
        <v>2.5400000000000002E-3</v>
      </c>
      <c r="M83" s="1235"/>
      <c r="N83" s="1235"/>
      <c r="O83" s="1235"/>
      <c r="P83" s="1235"/>
      <c r="Q83" s="1235"/>
      <c r="R83" s="1235"/>
      <c r="S83" s="1235"/>
      <c r="T83" s="1235"/>
      <c r="U83" s="1235"/>
      <c r="V83" s="1235"/>
      <c r="W83" s="1235"/>
      <c r="X83" s="1235"/>
      <c r="Y83" s="1235"/>
      <c r="Z83" s="1235"/>
      <c r="AA83" s="1235"/>
      <c r="AB83" s="1235"/>
      <c r="AC83" s="1235"/>
      <c r="AD83" s="1235"/>
      <c r="AE83" s="1235"/>
      <c r="AF83" s="1235"/>
      <c r="AG83" s="1235"/>
      <c r="AH83" s="1235"/>
      <c r="AI83" s="1235"/>
      <c r="AJ83" s="1235"/>
    </row>
    <row r="84" spans="1:36" s="1232" customFormat="1">
      <c r="A84" s="1244" t="s">
        <v>1009</v>
      </c>
      <c r="B84" s="1245">
        <v>62344404.170000002</v>
      </c>
      <c r="C84" s="1246">
        <v>6.3099999999999996E-3</v>
      </c>
      <c r="D84" s="1247">
        <v>476</v>
      </c>
      <c r="E84" s="1246">
        <v>4.9899999999999996E-3</v>
      </c>
      <c r="F84" s="1234"/>
      <c r="G84" s="1244" t="s">
        <v>807</v>
      </c>
      <c r="H84" s="1245">
        <v>37069580.490000002</v>
      </c>
      <c r="I84" s="1246">
        <v>3.7499999999999999E-3</v>
      </c>
      <c r="J84" s="1247">
        <v>252</v>
      </c>
      <c r="K84" s="1246">
        <v>2.64E-3</v>
      </c>
      <c r="M84" s="1235"/>
      <c r="N84" s="1235"/>
      <c r="O84" s="1235"/>
      <c r="P84" s="1235"/>
      <c r="Q84" s="1235"/>
      <c r="R84" s="1235"/>
      <c r="S84" s="1235"/>
      <c r="T84" s="1235"/>
      <c r="U84" s="1235"/>
      <c r="V84" s="1235"/>
      <c r="W84" s="1235"/>
      <c r="X84" s="1235"/>
      <c r="Y84" s="1235"/>
      <c r="Z84" s="1235"/>
      <c r="AA84" s="1235"/>
      <c r="AB84" s="1235"/>
      <c r="AC84" s="1235"/>
      <c r="AD84" s="1235"/>
      <c r="AE84" s="1235"/>
      <c r="AF84" s="1235"/>
      <c r="AG84" s="1235"/>
      <c r="AH84" s="1235"/>
      <c r="AI84" s="1235"/>
      <c r="AJ84" s="1235"/>
    </row>
    <row r="85" spans="1:36" s="1232" customFormat="1" ht="13.5" thickBot="1">
      <c r="A85" s="1244" t="s">
        <v>1010</v>
      </c>
      <c r="B85" s="1245">
        <v>183438463.90000001</v>
      </c>
      <c r="C85" s="1246">
        <v>1.857E-2</v>
      </c>
      <c r="D85" s="1247">
        <v>1570</v>
      </c>
      <c r="E85" s="1246">
        <v>1.6459999999999999E-2</v>
      </c>
      <c r="F85" s="1234"/>
      <c r="G85" s="1248" t="s">
        <v>814</v>
      </c>
      <c r="H85" s="1249">
        <v>9880455830.0200005</v>
      </c>
      <c r="I85" s="1250">
        <v>0.99999000000000005</v>
      </c>
      <c r="J85" s="1251">
        <v>95364</v>
      </c>
      <c r="K85" s="1250">
        <v>0.99997999999999998</v>
      </c>
      <c r="M85" s="1235"/>
      <c r="N85" s="1235"/>
      <c r="O85" s="1235"/>
      <c r="P85" s="1235"/>
      <c r="Q85" s="1235"/>
      <c r="R85" s="1235"/>
      <c r="S85" s="1235"/>
      <c r="T85" s="1235"/>
      <c r="U85" s="1235"/>
      <c r="V85" s="1235"/>
      <c r="W85" s="1235"/>
      <c r="X85" s="1235"/>
      <c r="Y85" s="1235"/>
      <c r="Z85" s="1235"/>
      <c r="AA85" s="1235"/>
      <c r="AB85" s="1235"/>
      <c r="AC85" s="1235"/>
      <c r="AD85" s="1235"/>
      <c r="AE85" s="1235"/>
      <c r="AF85" s="1235"/>
      <c r="AG85" s="1235"/>
      <c r="AH85" s="1235"/>
      <c r="AI85" s="1235"/>
      <c r="AJ85" s="1235"/>
    </row>
    <row r="86" spans="1:36" s="1232" customFormat="1" ht="14.25" thickTop="1" thickBot="1">
      <c r="A86" s="1252" t="s">
        <v>814</v>
      </c>
      <c r="B86" s="1253">
        <v>9880455830.0199986</v>
      </c>
      <c r="C86" s="1250">
        <v>1</v>
      </c>
      <c r="D86" s="1251">
        <v>95364</v>
      </c>
      <c r="E86" s="1250">
        <v>1.0000100000000001</v>
      </c>
      <c r="F86" s="1233"/>
      <c r="G86" s="1252"/>
      <c r="H86" s="1254"/>
      <c r="I86" s="1255"/>
      <c r="J86" s="1256"/>
      <c r="K86" s="1255"/>
      <c r="M86" s="1235"/>
      <c r="N86" s="1235"/>
      <c r="O86" s="1235"/>
      <c r="P86" s="1235"/>
      <c r="Q86" s="1235"/>
      <c r="R86" s="1235"/>
      <c r="S86" s="1235"/>
      <c r="T86" s="1235"/>
      <c r="U86" s="1235"/>
      <c r="V86" s="1235"/>
      <c r="W86" s="1235"/>
      <c r="X86" s="1235"/>
      <c r="Y86" s="1235"/>
      <c r="Z86" s="1235"/>
      <c r="AA86" s="1235"/>
      <c r="AB86" s="1235"/>
      <c r="AC86" s="1235"/>
      <c r="AD86" s="1235"/>
      <c r="AE86" s="1235"/>
      <c r="AF86" s="1235"/>
      <c r="AG86" s="1235"/>
      <c r="AH86" s="1235"/>
      <c r="AI86" s="1235"/>
      <c r="AJ86" s="1235"/>
    </row>
    <row r="87" spans="1:36" s="1232" customFormat="1" ht="13.5" thickTop="1">
      <c r="A87" s="1229"/>
      <c r="B87" s="1230"/>
      <c r="C87" s="1231"/>
      <c r="D87" s="1230"/>
      <c r="E87" s="1257"/>
      <c r="F87" s="1233"/>
      <c r="M87" s="1235"/>
      <c r="N87" s="1235"/>
      <c r="O87" s="1235"/>
      <c r="P87" s="1235"/>
      <c r="Q87" s="1235"/>
      <c r="R87" s="1235"/>
      <c r="S87" s="1235"/>
      <c r="T87" s="1235"/>
      <c r="U87" s="1235"/>
      <c r="V87" s="1235"/>
      <c r="W87" s="1235"/>
      <c r="X87" s="1235"/>
      <c r="Y87" s="1235"/>
      <c r="Z87" s="1235"/>
      <c r="AA87" s="1235"/>
      <c r="AB87" s="1235"/>
      <c r="AC87" s="1235"/>
      <c r="AD87" s="1235"/>
      <c r="AE87" s="1235"/>
      <c r="AF87" s="1235"/>
      <c r="AG87" s="1235"/>
      <c r="AH87" s="1235"/>
      <c r="AI87" s="1235"/>
      <c r="AJ87" s="1235"/>
    </row>
    <row r="88" spans="1:36" s="1232" customFormat="1">
      <c r="A88" s="1229"/>
      <c r="B88" s="1230"/>
      <c r="C88" s="1231"/>
      <c r="D88" s="1230"/>
      <c r="E88" s="1257"/>
      <c r="F88" s="1233"/>
      <c r="M88" s="1235"/>
      <c r="N88" s="1235"/>
      <c r="O88" s="1235"/>
      <c r="P88" s="1235"/>
      <c r="Q88" s="1235"/>
      <c r="R88" s="1235"/>
      <c r="S88" s="1235"/>
      <c r="T88" s="1235"/>
      <c r="U88" s="1235"/>
      <c r="V88" s="1235"/>
      <c r="W88" s="1235"/>
      <c r="X88" s="1235"/>
      <c r="Y88" s="1235"/>
      <c r="Z88" s="1235"/>
      <c r="AA88" s="1235"/>
      <c r="AB88" s="1235"/>
      <c r="AC88" s="1235"/>
      <c r="AD88" s="1235"/>
      <c r="AE88" s="1235"/>
      <c r="AF88" s="1235"/>
      <c r="AG88" s="1235"/>
      <c r="AH88" s="1235"/>
      <c r="AI88" s="1235"/>
      <c r="AJ88" s="1235"/>
    </row>
    <row r="89" spans="1:36" s="1232" customFormat="1">
      <c r="A89" s="1229"/>
      <c r="B89" s="1230"/>
      <c r="C89" s="1231"/>
      <c r="D89" s="1230"/>
      <c r="E89" s="1257"/>
      <c r="F89" s="1234"/>
      <c r="M89" s="1235"/>
      <c r="N89" s="1235"/>
      <c r="O89" s="1235"/>
      <c r="P89" s="1235"/>
      <c r="Q89" s="1235"/>
      <c r="R89" s="1235"/>
      <c r="S89" s="1235"/>
      <c r="T89" s="1235"/>
      <c r="U89" s="1235"/>
      <c r="V89" s="1235"/>
      <c r="W89" s="1235"/>
      <c r="X89" s="1235"/>
      <c r="Y89" s="1235"/>
      <c r="Z89" s="1235"/>
      <c r="AA89" s="1235"/>
      <c r="AB89" s="1235"/>
      <c r="AC89" s="1235"/>
      <c r="AD89" s="1235"/>
      <c r="AE89" s="1235"/>
      <c r="AF89" s="1235"/>
      <c r="AG89" s="1235"/>
      <c r="AH89" s="1235"/>
      <c r="AI89" s="1235"/>
      <c r="AJ89" s="1235"/>
    </row>
    <row r="90" spans="1:36" s="1232" customFormat="1" ht="15.75">
      <c r="A90" s="1237" t="s">
        <v>1011</v>
      </c>
      <c r="B90" s="1254"/>
      <c r="C90" s="1258"/>
      <c r="D90" s="1254"/>
      <c r="E90" s="1258"/>
      <c r="F90" s="1234"/>
      <c r="G90" s="1237" t="s">
        <v>876</v>
      </c>
      <c r="H90" s="1259"/>
      <c r="I90" s="1255"/>
      <c r="J90" s="1260"/>
      <c r="K90" s="1255"/>
      <c r="M90" s="1235"/>
      <c r="N90" s="1235"/>
      <c r="O90" s="1235"/>
      <c r="P90" s="1235"/>
      <c r="Q90" s="1235"/>
      <c r="R90" s="1235"/>
      <c r="S90" s="1235"/>
      <c r="T90" s="1235"/>
      <c r="U90" s="1235"/>
      <c r="V90" s="1235"/>
      <c r="W90" s="1235"/>
      <c r="X90" s="1235"/>
      <c r="Y90" s="1235"/>
      <c r="Z90" s="1235"/>
      <c r="AA90" s="1235"/>
      <c r="AB90" s="1235"/>
      <c r="AC90" s="1235"/>
      <c r="AD90" s="1235"/>
      <c r="AE90" s="1235"/>
      <c r="AF90" s="1235"/>
      <c r="AG90" s="1235"/>
      <c r="AH90" s="1235"/>
      <c r="AI90" s="1235"/>
      <c r="AJ90" s="1235"/>
    </row>
    <row r="91" spans="1:36" s="1232" customFormat="1">
      <c r="A91" s="1240" t="s">
        <v>928</v>
      </c>
      <c r="B91" s="1240" t="s">
        <v>934</v>
      </c>
      <c r="C91" s="1241" t="s">
        <v>991</v>
      </c>
      <c r="D91" s="1240" t="s">
        <v>992</v>
      </c>
      <c r="E91" s="1241" t="s">
        <v>991</v>
      </c>
      <c r="F91" s="1234"/>
      <c r="G91" s="1261" t="s">
        <v>879</v>
      </c>
      <c r="H91" s="1240" t="s">
        <v>880</v>
      </c>
      <c r="I91" s="1241" t="s">
        <v>881</v>
      </c>
      <c r="J91" s="1240" t="s">
        <v>882</v>
      </c>
      <c r="K91" s="1241" t="s">
        <v>991</v>
      </c>
      <c r="M91" s="1235"/>
      <c r="N91" s="1235"/>
      <c r="O91" s="1235"/>
      <c r="P91" s="1235"/>
      <c r="Q91" s="1235"/>
      <c r="R91" s="1235"/>
      <c r="S91" s="1235"/>
      <c r="T91" s="1235"/>
      <c r="U91" s="1235"/>
      <c r="V91" s="1235"/>
      <c r="W91" s="1235"/>
      <c r="X91" s="1235"/>
      <c r="Y91" s="1235"/>
      <c r="Z91" s="1235"/>
      <c r="AA91" s="1235"/>
      <c r="AB91" s="1235"/>
      <c r="AC91" s="1235"/>
      <c r="AD91" s="1235"/>
      <c r="AE91" s="1235"/>
      <c r="AF91" s="1235"/>
      <c r="AG91" s="1235"/>
      <c r="AH91" s="1235"/>
      <c r="AI91" s="1235"/>
      <c r="AJ91" s="1235"/>
    </row>
    <row r="92" spans="1:36" s="1232" customFormat="1">
      <c r="A92" s="1230" t="s">
        <v>1000</v>
      </c>
      <c r="B92" s="1230">
        <v>269942286.61000001</v>
      </c>
      <c r="C92" s="1262">
        <v>2.7320000000000001E-2</v>
      </c>
      <c r="D92" s="1247">
        <v>1979</v>
      </c>
      <c r="E92" s="1262">
        <v>2.0750000000000001E-2</v>
      </c>
      <c r="F92" s="1234"/>
      <c r="G92" s="1244" t="s">
        <v>877</v>
      </c>
      <c r="H92" s="1263">
        <v>3521093450.4699998</v>
      </c>
      <c r="I92" s="1246">
        <v>0.35637000000000002</v>
      </c>
      <c r="J92" s="1263">
        <v>38414</v>
      </c>
      <c r="K92" s="1246">
        <v>0.40281</v>
      </c>
      <c r="M92" s="1235"/>
      <c r="N92" s="1235"/>
      <c r="O92" s="1235"/>
      <c r="P92" s="1235"/>
      <c r="Q92" s="1235"/>
      <c r="R92" s="1235"/>
      <c r="S92" s="1235"/>
      <c r="T92" s="1235"/>
      <c r="U92" s="1235"/>
      <c r="V92" s="1235"/>
      <c r="W92" s="1235"/>
      <c r="X92" s="1235"/>
      <c r="Y92" s="1235"/>
      <c r="Z92" s="1235"/>
      <c r="AA92" s="1235"/>
      <c r="AB92" s="1235"/>
      <c r="AC92" s="1235"/>
      <c r="AD92" s="1235"/>
      <c r="AE92" s="1235"/>
      <c r="AF92" s="1235"/>
      <c r="AG92" s="1235"/>
      <c r="AH92" s="1235"/>
      <c r="AI92" s="1235"/>
      <c r="AJ92" s="1235"/>
    </row>
    <row r="93" spans="1:36" s="1232" customFormat="1">
      <c r="A93" s="1230" t="s">
        <v>1001</v>
      </c>
      <c r="B93" s="1230">
        <v>284755989.79000002</v>
      </c>
      <c r="C93" s="1262">
        <v>2.8819999999999998E-2</v>
      </c>
      <c r="D93" s="1247">
        <v>2062</v>
      </c>
      <c r="E93" s="1262">
        <v>2.162E-2</v>
      </c>
      <c r="F93" s="1234"/>
      <c r="G93" s="1244" t="s">
        <v>878</v>
      </c>
      <c r="H93" s="1263">
        <v>6359362379.5500002</v>
      </c>
      <c r="I93" s="1246">
        <v>0.64363000000000004</v>
      </c>
      <c r="J93" s="1263">
        <v>56950</v>
      </c>
      <c r="K93" s="1246">
        <v>0.59719</v>
      </c>
      <c r="M93" s="1235"/>
      <c r="N93" s="1235"/>
      <c r="O93" s="1235"/>
      <c r="P93" s="1235"/>
      <c r="Q93" s="1235"/>
      <c r="R93" s="1235"/>
      <c r="S93" s="1235"/>
      <c r="T93" s="1235"/>
      <c r="U93" s="1235"/>
      <c r="V93" s="1235"/>
      <c r="W93" s="1235"/>
      <c r="X93" s="1235"/>
      <c r="Y93" s="1235"/>
      <c r="Z93" s="1235"/>
      <c r="AA93" s="1235"/>
      <c r="AB93" s="1235"/>
      <c r="AC93" s="1235"/>
      <c r="AD93" s="1235"/>
      <c r="AE93" s="1235"/>
      <c r="AF93" s="1235"/>
      <c r="AG93" s="1235"/>
      <c r="AH93" s="1235"/>
      <c r="AI93" s="1235"/>
      <c r="AJ93" s="1235"/>
    </row>
    <row r="94" spans="1:36" s="1232" customFormat="1" ht="13.5" thickBot="1">
      <c r="A94" s="1230" t="s">
        <v>1002</v>
      </c>
      <c r="B94" s="1230">
        <v>85989301.530000001</v>
      </c>
      <c r="C94" s="1262">
        <v>8.6999999999999994E-3</v>
      </c>
      <c r="D94" s="1247">
        <v>657</v>
      </c>
      <c r="E94" s="1262">
        <v>6.8900000000000003E-3</v>
      </c>
      <c r="F94" s="1234"/>
      <c r="G94" s="1264" t="s">
        <v>814</v>
      </c>
      <c r="H94" s="1249">
        <v>9880455830.0200005</v>
      </c>
      <c r="I94" s="1250">
        <v>1</v>
      </c>
      <c r="J94" s="1249">
        <v>95364</v>
      </c>
      <c r="K94" s="1250">
        <v>1</v>
      </c>
      <c r="M94" s="1235"/>
      <c r="N94" s="1235"/>
      <c r="O94" s="1235"/>
      <c r="P94" s="1235"/>
      <c r="Q94" s="1235"/>
      <c r="R94" s="1235"/>
      <c r="S94" s="1235"/>
      <c r="T94" s="1235"/>
      <c r="U94" s="1235"/>
      <c r="V94" s="1235"/>
      <c r="W94" s="1235"/>
      <c r="X94" s="1235"/>
      <c r="Y94" s="1235"/>
      <c r="Z94" s="1235"/>
      <c r="AA94" s="1235"/>
      <c r="AB94" s="1235"/>
      <c r="AC94" s="1235"/>
      <c r="AD94" s="1235"/>
      <c r="AE94" s="1235"/>
      <c r="AF94" s="1235"/>
      <c r="AG94" s="1235"/>
      <c r="AH94" s="1235"/>
      <c r="AI94" s="1235"/>
      <c r="AJ94" s="1235"/>
    </row>
    <row r="95" spans="1:36" s="1232" customFormat="1" ht="13.5" thickTop="1">
      <c r="A95" s="1230" t="s">
        <v>1003</v>
      </c>
      <c r="B95" s="1230">
        <v>78119427.599999994</v>
      </c>
      <c r="C95" s="1262">
        <v>7.9100000000000004E-3</v>
      </c>
      <c r="D95" s="1247">
        <v>601</v>
      </c>
      <c r="E95" s="1262">
        <v>6.3E-3</v>
      </c>
      <c r="F95" s="1234"/>
      <c r="G95" s="1264"/>
      <c r="H95" s="1254"/>
      <c r="I95" s="1255"/>
      <c r="J95" s="1256"/>
      <c r="K95" s="1255"/>
      <c r="M95" s="1235"/>
      <c r="N95" s="1235"/>
      <c r="O95" s="1235"/>
      <c r="P95" s="1235"/>
      <c r="Q95" s="1235"/>
      <c r="R95" s="1235"/>
      <c r="S95" s="1235"/>
      <c r="T95" s="1235"/>
      <c r="U95" s="1235"/>
      <c r="V95" s="1235"/>
      <c r="W95" s="1235"/>
      <c r="X95" s="1235"/>
      <c r="Y95" s="1235"/>
      <c r="Z95" s="1235"/>
      <c r="AA95" s="1235"/>
      <c r="AB95" s="1235"/>
      <c r="AC95" s="1235"/>
      <c r="AD95" s="1235"/>
      <c r="AE95" s="1235"/>
      <c r="AF95" s="1235"/>
      <c r="AG95" s="1235"/>
      <c r="AH95" s="1235"/>
      <c r="AI95" s="1235"/>
      <c r="AJ95" s="1235"/>
    </row>
    <row r="96" spans="1:36" s="1232" customFormat="1">
      <c r="A96" s="1230" t="s">
        <v>1004</v>
      </c>
      <c r="B96" s="1230">
        <v>73709264.25</v>
      </c>
      <c r="C96" s="1262">
        <v>7.4599999999999996E-3</v>
      </c>
      <c r="D96" s="1247">
        <v>547</v>
      </c>
      <c r="E96" s="1262">
        <v>5.7400000000000003E-3</v>
      </c>
      <c r="F96" s="1234"/>
      <c r="G96" s="1264"/>
      <c r="H96" s="1254"/>
      <c r="I96" s="1255"/>
      <c r="J96" s="1256"/>
      <c r="K96" s="1255"/>
      <c r="M96" s="1235"/>
      <c r="N96" s="1235"/>
      <c r="O96" s="1235"/>
      <c r="P96" s="1235"/>
      <c r="Q96" s="1235"/>
      <c r="R96" s="1235"/>
      <c r="S96" s="1235"/>
      <c r="T96" s="1235"/>
      <c r="U96" s="1235"/>
      <c r="V96" s="1235"/>
      <c r="W96" s="1235"/>
      <c r="X96" s="1235"/>
      <c r="Y96" s="1235"/>
      <c r="Z96" s="1235"/>
      <c r="AA96" s="1235"/>
      <c r="AB96" s="1235"/>
      <c r="AC96" s="1235"/>
      <c r="AD96" s="1235"/>
      <c r="AE96" s="1235"/>
      <c r="AF96" s="1235"/>
      <c r="AG96" s="1235"/>
      <c r="AH96" s="1235"/>
      <c r="AI96" s="1235"/>
      <c r="AJ96" s="1235"/>
    </row>
    <row r="97" spans="1:36" s="1232" customFormat="1">
      <c r="A97" s="1230" t="s">
        <v>1005</v>
      </c>
      <c r="B97" s="1230">
        <v>52914823.219999999</v>
      </c>
      <c r="C97" s="1262">
        <v>5.3600000000000002E-3</v>
      </c>
      <c r="D97" s="1247">
        <v>393</v>
      </c>
      <c r="E97" s="1262">
        <v>4.1200000000000004E-3</v>
      </c>
      <c r="F97" s="1234"/>
      <c r="G97" s="1264"/>
      <c r="H97" s="1254"/>
      <c r="I97" s="1255"/>
      <c r="J97" s="1256"/>
      <c r="K97" s="1255"/>
      <c r="M97" s="1235"/>
      <c r="N97" s="1235"/>
      <c r="O97" s="1235"/>
      <c r="P97" s="1235"/>
      <c r="Q97" s="1235"/>
      <c r="R97" s="1235"/>
      <c r="S97" s="1235"/>
      <c r="T97" s="1235"/>
      <c r="U97" s="1235"/>
      <c r="V97" s="1235"/>
      <c r="W97" s="1235"/>
      <c r="X97" s="1235"/>
      <c r="Y97" s="1235"/>
      <c r="Z97" s="1235"/>
      <c r="AA97" s="1235"/>
      <c r="AB97" s="1235"/>
      <c r="AC97" s="1235"/>
      <c r="AD97" s="1235"/>
      <c r="AE97" s="1235"/>
      <c r="AF97" s="1235"/>
      <c r="AG97" s="1235"/>
      <c r="AH97" s="1235"/>
      <c r="AI97" s="1235"/>
      <c r="AJ97" s="1235"/>
    </row>
    <row r="98" spans="1:36" s="1232" customFormat="1">
      <c r="A98" s="1230" t="s">
        <v>1006</v>
      </c>
      <c r="B98" s="1230">
        <v>53490132.159999996</v>
      </c>
      <c r="C98" s="1262">
        <v>5.4099999999999999E-3</v>
      </c>
      <c r="D98" s="1247">
        <v>396</v>
      </c>
      <c r="E98" s="1262">
        <v>4.15E-3</v>
      </c>
      <c r="F98" s="1234"/>
      <c r="H98" s="1254"/>
      <c r="I98" s="1255"/>
      <c r="J98" s="1256"/>
      <c r="K98" s="1255"/>
      <c r="M98" s="1235"/>
      <c r="N98" s="1235"/>
      <c r="O98" s="1235"/>
      <c r="P98" s="1235"/>
      <c r="Q98" s="1235"/>
      <c r="R98" s="1235"/>
      <c r="S98" s="1235"/>
      <c r="T98" s="1235"/>
      <c r="U98" s="1235"/>
      <c r="V98" s="1235"/>
      <c r="W98" s="1235"/>
      <c r="X98" s="1235"/>
      <c r="Y98" s="1235"/>
      <c r="Z98" s="1235"/>
      <c r="AA98" s="1235"/>
      <c r="AB98" s="1235"/>
      <c r="AC98" s="1235"/>
      <c r="AD98" s="1235"/>
      <c r="AE98" s="1235"/>
      <c r="AF98" s="1235"/>
      <c r="AG98" s="1235"/>
      <c r="AH98" s="1235"/>
      <c r="AI98" s="1235"/>
      <c r="AJ98" s="1235"/>
    </row>
    <row r="99" spans="1:36" s="1232" customFormat="1">
      <c r="A99" s="1230" t="s">
        <v>1007</v>
      </c>
      <c r="B99" s="1230">
        <v>68337613.069999993</v>
      </c>
      <c r="C99" s="1262">
        <v>6.9199999999999999E-3</v>
      </c>
      <c r="D99" s="1247">
        <v>496</v>
      </c>
      <c r="E99" s="1262">
        <v>5.1999999999999998E-3</v>
      </c>
      <c r="F99" s="1234"/>
      <c r="M99" s="1235"/>
      <c r="N99" s="1235"/>
      <c r="O99" s="1235"/>
      <c r="P99" s="1235"/>
      <c r="Q99" s="1235"/>
      <c r="R99" s="1235"/>
      <c r="S99" s="1235"/>
      <c r="T99" s="1235"/>
      <c r="U99" s="1235"/>
      <c r="V99" s="1235"/>
      <c r="W99" s="1235"/>
      <c r="X99" s="1235"/>
      <c r="Y99" s="1235"/>
      <c r="Z99" s="1235"/>
      <c r="AA99" s="1235"/>
      <c r="AB99" s="1235"/>
      <c r="AC99" s="1235"/>
      <c r="AD99" s="1235"/>
      <c r="AE99" s="1235"/>
      <c r="AF99" s="1235"/>
      <c r="AG99" s="1235"/>
      <c r="AH99" s="1235"/>
      <c r="AI99" s="1235"/>
      <c r="AJ99" s="1235"/>
    </row>
    <row r="100" spans="1:36" s="1232" customFormat="1" ht="15.75">
      <c r="A100" s="1230" t="s">
        <v>1008</v>
      </c>
      <c r="B100" s="1230">
        <v>59736057.100000001</v>
      </c>
      <c r="C100" s="1262">
        <v>6.0499999999999998E-3</v>
      </c>
      <c r="D100" s="1247">
        <v>463</v>
      </c>
      <c r="E100" s="1262">
        <v>4.8599999999999997E-3</v>
      </c>
      <c r="F100" s="1234"/>
      <c r="G100" s="1237" t="s">
        <v>429</v>
      </c>
      <c r="M100" s="1235"/>
      <c r="N100" s="1235"/>
      <c r="O100" s="1235"/>
      <c r="P100" s="1235"/>
      <c r="Q100" s="1235"/>
      <c r="R100" s="1235"/>
      <c r="S100" s="1235"/>
      <c r="T100" s="1235"/>
      <c r="U100" s="1235"/>
      <c r="V100" s="1235"/>
      <c r="W100" s="1235"/>
      <c r="X100" s="1235"/>
      <c r="Y100" s="1235"/>
      <c r="Z100" s="1235"/>
      <c r="AA100" s="1235"/>
      <c r="AB100" s="1235"/>
      <c r="AC100" s="1235"/>
      <c r="AD100" s="1235"/>
      <c r="AE100" s="1235"/>
      <c r="AF100" s="1235"/>
      <c r="AG100" s="1235"/>
      <c r="AH100" s="1235"/>
      <c r="AI100" s="1235"/>
      <c r="AJ100" s="1235"/>
    </row>
    <row r="101" spans="1:36" s="1232" customFormat="1">
      <c r="A101" s="1230" t="s">
        <v>1009</v>
      </c>
      <c r="B101" s="1230">
        <v>55153035.75</v>
      </c>
      <c r="C101" s="1262">
        <v>5.5799999999999999E-3</v>
      </c>
      <c r="D101" s="1247">
        <v>467</v>
      </c>
      <c r="E101" s="1262">
        <v>4.8999999999999998E-3</v>
      </c>
      <c r="F101" s="1234"/>
      <c r="G101" s="1265" t="s">
        <v>429</v>
      </c>
      <c r="H101" s="1240" t="s">
        <v>880</v>
      </c>
      <c r="I101" s="1241" t="s">
        <v>881</v>
      </c>
      <c r="J101" s="1240" t="s">
        <v>882</v>
      </c>
      <c r="K101" s="1241" t="s">
        <v>991</v>
      </c>
      <c r="M101" s="1235"/>
      <c r="N101" s="1235"/>
      <c r="O101" s="1235"/>
      <c r="P101" s="1235"/>
      <c r="Q101" s="1235"/>
      <c r="R101" s="1235"/>
      <c r="S101" s="1235"/>
      <c r="T101" s="1235"/>
      <c r="U101" s="1235"/>
      <c r="V101" s="1235"/>
      <c r="W101" s="1235"/>
      <c r="X101" s="1235"/>
      <c r="Y101" s="1235"/>
      <c r="Z101" s="1235"/>
      <c r="AA101" s="1235"/>
      <c r="AB101" s="1235"/>
      <c r="AC101" s="1235"/>
      <c r="AD101" s="1235"/>
      <c r="AE101" s="1235"/>
      <c r="AF101" s="1235"/>
      <c r="AG101" s="1235"/>
      <c r="AH101" s="1235"/>
      <c r="AI101" s="1235"/>
      <c r="AJ101" s="1235"/>
    </row>
    <row r="102" spans="1:36" s="1232" customFormat="1">
      <c r="A102" s="1230" t="s">
        <v>1010</v>
      </c>
      <c r="B102" s="1230">
        <v>8613036.6199999992</v>
      </c>
      <c r="C102" s="1262">
        <v>8.7000000000000001E-4</v>
      </c>
      <c r="D102" s="1247">
        <v>60</v>
      </c>
      <c r="E102" s="1262">
        <v>6.3000000000000003E-4</v>
      </c>
      <c r="F102" s="1234"/>
      <c r="G102" s="1266" t="s">
        <v>476</v>
      </c>
      <c r="H102" s="1254">
        <v>9880455830.0200005</v>
      </c>
      <c r="I102" s="1246">
        <v>1</v>
      </c>
      <c r="J102" s="1254">
        <v>95364</v>
      </c>
      <c r="K102" s="1246">
        <v>1</v>
      </c>
      <c r="M102" s="1235"/>
      <c r="N102" s="1235"/>
      <c r="O102" s="1235"/>
      <c r="P102" s="1235"/>
      <c r="Q102" s="1235"/>
      <c r="R102" s="1235"/>
      <c r="S102" s="1235"/>
      <c r="T102" s="1235"/>
      <c r="U102" s="1235"/>
      <c r="V102" s="1235"/>
      <c r="W102" s="1235"/>
      <c r="X102" s="1235"/>
      <c r="Y102" s="1235"/>
      <c r="Z102" s="1235"/>
      <c r="AA102" s="1235"/>
      <c r="AB102" s="1235"/>
      <c r="AC102" s="1235"/>
      <c r="AD102" s="1235"/>
      <c r="AE102" s="1235"/>
      <c r="AF102" s="1235"/>
      <c r="AG102" s="1235"/>
      <c r="AH102" s="1235"/>
      <c r="AI102" s="1235"/>
      <c r="AJ102" s="1235"/>
    </row>
    <row r="103" spans="1:36" s="1232" customFormat="1" ht="13.5" thickBot="1">
      <c r="A103" s="1230" t="s">
        <v>727</v>
      </c>
      <c r="B103" s="1230">
        <v>9961193.4600000009</v>
      </c>
      <c r="C103" s="1262">
        <v>1.01E-3</v>
      </c>
      <c r="D103" s="1247">
        <v>71</v>
      </c>
      <c r="E103" s="1262">
        <v>7.3999999999999999E-4</v>
      </c>
      <c r="F103" s="1234"/>
      <c r="G103" s="1264" t="s">
        <v>814</v>
      </c>
      <c r="H103" s="1249">
        <v>9880455830.0200005</v>
      </c>
      <c r="I103" s="1250">
        <v>1</v>
      </c>
      <c r="J103" s="1249">
        <v>95364</v>
      </c>
      <c r="K103" s="1250">
        <v>1</v>
      </c>
      <c r="M103" s="1235"/>
      <c r="N103" s="1235"/>
      <c r="O103" s="1235"/>
      <c r="P103" s="1235"/>
      <c r="Q103" s="1235"/>
      <c r="R103" s="1235"/>
      <c r="S103" s="1235"/>
      <c r="T103" s="1235"/>
      <c r="U103" s="1235"/>
      <c r="V103" s="1235"/>
      <c r="W103" s="1235"/>
      <c r="X103" s="1235"/>
      <c r="Y103" s="1235"/>
      <c r="Z103" s="1235"/>
      <c r="AA103" s="1235"/>
      <c r="AB103" s="1235"/>
      <c r="AC103" s="1235"/>
      <c r="AD103" s="1235"/>
      <c r="AE103" s="1235"/>
      <c r="AF103" s="1235"/>
      <c r="AG103" s="1235"/>
      <c r="AH103" s="1235"/>
      <c r="AI103" s="1235"/>
      <c r="AJ103" s="1235"/>
    </row>
    <row r="104" spans="1:36" s="1232" customFormat="1" ht="13.5" thickTop="1">
      <c r="A104" s="1230" t="s">
        <v>945</v>
      </c>
      <c r="B104" s="1230">
        <v>15134255.02</v>
      </c>
      <c r="C104" s="1262">
        <v>1.5299999999999999E-3</v>
      </c>
      <c r="D104" s="1247">
        <v>109</v>
      </c>
      <c r="E104" s="1262">
        <v>1.14E-3</v>
      </c>
      <c r="F104" s="1234"/>
      <c r="M104" s="1235"/>
      <c r="N104" s="1235"/>
      <c r="O104" s="1235"/>
      <c r="P104" s="1235"/>
      <c r="Q104" s="1235"/>
      <c r="R104" s="1235"/>
      <c r="S104" s="1235"/>
      <c r="T104" s="1235"/>
      <c r="U104" s="1235"/>
      <c r="V104" s="1235"/>
      <c r="W104" s="1235"/>
      <c r="X104" s="1235"/>
      <c r="Y104" s="1235"/>
      <c r="Z104" s="1235"/>
      <c r="AA104" s="1235"/>
      <c r="AB104" s="1235"/>
      <c r="AC104" s="1235"/>
      <c r="AD104" s="1235"/>
      <c r="AE104" s="1235"/>
      <c r="AF104" s="1235"/>
      <c r="AG104" s="1235"/>
      <c r="AH104" s="1235"/>
      <c r="AI104" s="1235"/>
      <c r="AJ104" s="1235"/>
    </row>
    <row r="105" spans="1:36" s="1232" customFormat="1">
      <c r="A105" s="1230" t="s">
        <v>946</v>
      </c>
      <c r="B105" s="1230">
        <v>8764599413.8400002</v>
      </c>
      <c r="C105" s="1262">
        <v>0.88705999999999996</v>
      </c>
      <c r="D105" s="1247">
        <v>87063</v>
      </c>
      <c r="E105" s="1262">
        <v>0.91295000000000004</v>
      </c>
      <c r="F105" s="1234"/>
      <c r="M105" s="1235"/>
      <c r="N105" s="1235"/>
      <c r="O105" s="1235"/>
      <c r="P105" s="1235"/>
      <c r="Q105" s="1235"/>
      <c r="R105" s="1235"/>
      <c r="S105" s="1235"/>
      <c r="T105" s="1235"/>
      <c r="U105" s="1235"/>
      <c r="V105" s="1235"/>
      <c r="W105" s="1235"/>
      <c r="X105" s="1235"/>
      <c r="Y105" s="1235"/>
      <c r="Z105" s="1235"/>
      <c r="AA105" s="1235"/>
      <c r="AB105" s="1235"/>
      <c r="AC105" s="1235"/>
      <c r="AD105" s="1235"/>
      <c r="AE105" s="1235"/>
      <c r="AF105" s="1235"/>
      <c r="AG105" s="1235"/>
      <c r="AH105" s="1235"/>
      <c r="AI105" s="1235"/>
      <c r="AJ105" s="1235"/>
    </row>
    <row r="106" spans="1:36" s="1232" customFormat="1" ht="13.5" thickBot="1">
      <c r="A106" s="1252" t="s">
        <v>814</v>
      </c>
      <c r="B106" s="1253">
        <v>9880455830.0200005</v>
      </c>
      <c r="C106" s="1250">
        <v>1</v>
      </c>
      <c r="D106" s="1251">
        <v>95364</v>
      </c>
      <c r="E106" s="1250">
        <v>0.99999000000000005</v>
      </c>
      <c r="F106" s="1234"/>
      <c r="M106" s="1235"/>
      <c r="N106" s="1235"/>
      <c r="O106" s="1235"/>
      <c r="P106" s="1235"/>
      <c r="Q106" s="1235"/>
      <c r="R106" s="1235"/>
      <c r="S106" s="1235"/>
      <c r="T106" s="1235"/>
      <c r="U106" s="1235"/>
      <c r="V106" s="1235"/>
      <c r="W106" s="1235"/>
      <c r="X106" s="1235"/>
      <c r="Y106" s="1235"/>
      <c r="Z106" s="1235"/>
      <c r="AA106" s="1235"/>
      <c r="AB106" s="1235"/>
      <c r="AC106" s="1235"/>
      <c r="AD106" s="1235"/>
      <c r="AE106" s="1235"/>
      <c r="AF106" s="1235"/>
      <c r="AG106" s="1235"/>
      <c r="AH106" s="1235"/>
      <c r="AI106" s="1235"/>
      <c r="AJ106" s="1235"/>
    </row>
    <row r="107" spans="1:36" s="1232" customFormat="1" ht="13.5" thickTop="1">
      <c r="F107" s="1234"/>
      <c r="M107" s="1235"/>
      <c r="N107" s="1235"/>
      <c r="O107" s="1235"/>
      <c r="P107" s="1235"/>
      <c r="Q107" s="1235"/>
      <c r="R107" s="1235"/>
      <c r="S107" s="1235"/>
      <c r="T107" s="1235"/>
      <c r="U107" s="1235"/>
      <c r="V107" s="1235"/>
      <c r="W107" s="1235"/>
      <c r="X107" s="1235"/>
      <c r="Y107" s="1235"/>
      <c r="Z107" s="1235"/>
      <c r="AA107" s="1235"/>
      <c r="AB107" s="1235"/>
      <c r="AC107" s="1235"/>
      <c r="AD107" s="1235"/>
      <c r="AE107" s="1235"/>
      <c r="AF107" s="1235"/>
      <c r="AG107" s="1235"/>
      <c r="AH107" s="1235"/>
      <c r="AI107" s="1235"/>
      <c r="AJ107" s="1235"/>
    </row>
    <row r="108" spans="1:36" s="1232" customFormat="1">
      <c r="A108" s="1244"/>
      <c r="F108" s="1234"/>
      <c r="M108" s="1235"/>
      <c r="N108" s="1235"/>
      <c r="O108" s="1235"/>
      <c r="P108" s="1235"/>
      <c r="Q108" s="1235"/>
      <c r="R108" s="1235"/>
      <c r="S108" s="1235"/>
      <c r="T108" s="1235"/>
      <c r="U108" s="1235"/>
      <c r="V108" s="1235"/>
      <c r="W108" s="1235"/>
      <c r="X108" s="1235"/>
      <c r="Y108" s="1235"/>
      <c r="Z108" s="1235"/>
      <c r="AA108" s="1235"/>
      <c r="AB108" s="1235"/>
      <c r="AC108" s="1235"/>
      <c r="AD108" s="1235"/>
      <c r="AE108" s="1235"/>
      <c r="AF108" s="1235"/>
      <c r="AG108" s="1235"/>
      <c r="AH108" s="1235"/>
      <c r="AI108" s="1235"/>
      <c r="AJ108" s="1235"/>
    </row>
    <row r="109" spans="1:36" s="1232" customFormat="1">
      <c r="A109" s="1244"/>
      <c r="B109" s="1254"/>
      <c r="C109" s="1255"/>
      <c r="D109" s="1256"/>
      <c r="E109" s="1255"/>
      <c r="F109" s="1234"/>
      <c r="M109" s="1235"/>
      <c r="N109" s="1235"/>
      <c r="O109" s="1235"/>
      <c r="P109" s="1235"/>
      <c r="Q109" s="1235"/>
      <c r="R109" s="1235"/>
      <c r="S109" s="1235"/>
      <c r="T109" s="1235"/>
      <c r="U109" s="1235"/>
      <c r="V109" s="1235"/>
      <c r="W109" s="1235"/>
      <c r="X109" s="1235"/>
      <c r="Y109" s="1235"/>
      <c r="Z109" s="1235"/>
      <c r="AA109" s="1235"/>
      <c r="AB109" s="1235"/>
      <c r="AC109" s="1235"/>
      <c r="AD109" s="1235"/>
      <c r="AE109" s="1235"/>
      <c r="AF109" s="1235"/>
      <c r="AG109" s="1235"/>
      <c r="AH109" s="1235"/>
      <c r="AI109" s="1235"/>
      <c r="AJ109" s="1235"/>
    </row>
    <row r="110" spans="1:36" s="1232" customFormat="1">
      <c r="A110" s="1229"/>
      <c r="B110" s="1267"/>
      <c r="C110" s="1255"/>
      <c r="D110" s="1254"/>
      <c r="E110" s="1255"/>
      <c r="F110" s="1234"/>
      <c r="M110" s="1235"/>
      <c r="N110" s="1235"/>
      <c r="O110" s="1235"/>
      <c r="P110" s="1235"/>
      <c r="Q110" s="1235"/>
      <c r="R110" s="1235"/>
      <c r="S110" s="1235"/>
      <c r="T110" s="1235"/>
      <c r="U110" s="1235"/>
      <c r="V110" s="1235"/>
      <c r="W110" s="1235"/>
      <c r="X110" s="1235"/>
      <c r="Y110" s="1235"/>
      <c r="Z110" s="1235"/>
      <c r="AA110" s="1235"/>
      <c r="AB110" s="1235"/>
      <c r="AC110" s="1235"/>
      <c r="AD110" s="1235"/>
      <c r="AE110" s="1235"/>
      <c r="AF110" s="1235"/>
      <c r="AG110" s="1235"/>
      <c r="AH110" s="1235"/>
      <c r="AI110" s="1235"/>
      <c r="AJ110" s="1235"/>
    </row>
    <row r="111" spans="1:36" s="1232" customFormat="1" ht="12.75" customHeight="1">
      <c r="A111" s="1268" t="s">
        <v>808</v>
      </c>
      <c r="B111" s="1267"/>
      <c r="C111" s="1255"/>
      <c r="D111" s="1254"/>
      <c r="E111" s="1255"/>
      <c r="F111" s="1234"/>
      <c r="G111" s="1237" t="s">
        <v>718</v>
      </c>
      <c r="H111" s="1230"/>
      <c r="I111" s="1231"/>
      <c r="J111" s="1230"/>
      <c r="K111" s="1257"/>
      <c r="M111" s="1235"/>
      <c r="N111" s="1235"/>
      <c r="O111" s="1235"/>
      <c r="P111" s="1235"/>
      <c r="Q111" s="1235"/>
      <c r="R111" s="1235"/>
      <c r="S111" s="1235"/>
      <c r="T111" s="1235"/>
      <c r="U111" s="1235"/>
      <c r="V111" s="1235"/>
      <c r="W111" s="1235"/>
      <c r="X111" s="1235"/>
      <c r="Y111" s="1235"/>
      <c r="Z111" s="1235"/>
      <c r="AA111" s="1235"/>
      <c r="AB111" s="1235"/>
      <c r="AC111" s="1235"/>
      <c r="AD111" s="1235"/>
      <c r="AE111" s="1235"/>
      <c r="AF111" s="1235"/>
      <c r="AG111" s="1235"/>
      <c r="AH111" s="1235"/>
      <c r="AI111" s="1235"/>
      <c r="AJ111" s="1235"/>
    </row>
    <row r="112" spans="1:36" s="1271" customFormat="1" ht="25.5">
      <c r="A112" s="1239" t="s">
        <v>809</v>
      </c>
      <c r="B112" s="1240" t="s">
        <v>935</v>
      </c>
      <c r="C112" s="1241" t="s">
        <v>991</v>
      </c>
      <c r="D112" s="1240" t="s">
        <v>882</v>
      </c>
      <c r="E112" s="1241" t="s">
        <v>991</v>
      </c>
      <c r="F112" s="1269"/>
      <c r="G112" s="1270"/>
      <c r="H112" s="1240" t="s">
        <v>934</v>
      </c>
      <c r="I112" s="1241" t="s">
        <v>991</v>
      </c>
      <c r="J112" s="1240" t="s">
        <v>992</v>
      </c>
      <c r="K112" s="1241" t="s">
        <v>991</v>
      </c>
      <c r="M112" s="1272"/>
      <c r="N112" s="1272"/>
      <c r="O112" s="1272"/>
      <c r="P112" s="1272"/>
      <c r="Q112" s="1272"/>
      <c r="R112" s="1272"/>
      <c r="S112" s="1272"/>
      <c r="T112" s="1272"/>
      <c r="U112" s="1272"/>
      <c r="V112" s="1272"/>
      <c r="W112" s="1272"/>
      <c r="X112" s="1272"/>
      <c r="Y112" s="1272"/>
      <c r="Z112" s="1272"/>
      <c r="AA112" s="1272"/>
      <c r="AB112" s="1272"/>
      <c r="AC112" s="1272"/>
      <c r="AD112" s="1272"/>
      <c r="AE112" s="1272"/>
      <c r="AF112" s="1272"/>
      <c r="AG112" s="1272"/>
      <c r="AH112" s="1272"/>
      <c r="AI112" s="1272"/>
      <c r="AJ112" s="1272"/>
    </row>
    <row r="113" spans="1:36" s="1232" customFormat="1" ht="12.75" customHeight="1">
      <c r="A113" s="1230" t="s">
        <v>64</v>
      </c>
      <c r="B113" s="1230">
        <v>709513631.66999996</v>
      </c>
      <c r="C113" s="1262">
        <v>7.1809999999999999E-2</v>
      </c>
      <c r="D113" s="1247">
        <v>7154</v>
      </c>
      <c r="E113" s="1262">
        <v>7.5020000000000003E-2</v>
      </c>
      <c r="G113" s="1273" t="s">
        <v>864</v>
      </c>
      <c r="H113" s="1274">
        <v>466334821.37</v>
      </c>
      <c r="I113" s="1275">
        <v>4.7199999999999999E-2</v>
      </c>
      <c r="J113" s="1276">
        <v>5220</v>
      </c>
      <c r="K113" s="1275">
        <v>5.4739999999999997E-2</v>
      </c>
      <c r="M113" s="1235"/>
      <c r="N113" s="1235"/>
      <c r="O113" s="1235"/>
      <c r="P113" s="1235"/>
      <c r="Q113" s="1235"/>
      <c r="R113" s="1235"/>
      <c r="S113" s="1235"/>
      <c r="T113" s="1235"/>
      <c r="U113" s="1235"/>
      <c r="V113" s="1235"/>
      <c r="W113" s="1235"/>
      <c r="X113" s="1235"/>
      <c r="Y113" s="1235"/>
      <c r="Z113" s="1235"/>
      <c r="AA113" s="1235"/>
      <c r="AB113" s="1235"/>
      <c r="AC113" s="1235"/>
      <c r="AD113" s="1235"/>
      <c r="AE113" s="1235"/>
      <c r="AF113" s="1235"/>
      <c r="AG113" s="1235"/>
      <c r="AH113" s="1235"/>
      <c r="AI113" s="1235"/>
      <c r="AJ113" s="1235"/>
    </row>
    <row r="114" spans="1:36" s="1232" customFormat="1" ht="12.75" customHeight="1">
      <c r="A114" s="1230" t="s">
        <v>65</v>
      </c>
      <c r="B114" s="1230">
        <v>511060196.88999999</v>
      </c>
      <c r="C114" s="1262">
        <v>5.1720000000000002E-2</v>
      </c>
      <c r="D114" s="1247">
        <v>5842</v>
      </c>
      <c r="E114" s="1262">
        <v>6.1260000000000002E-2</v>
      </c>
      <c r="G114" s="1273" t="s">
        <v>865</v>
      </c>
      <c r="H114" s="1274">
        <v>3480360661.8899999</v>
      </c>
      <c r="I114" s="1275">
        <v>0.35225000000000001</v>
      </c>
      <c r="J114" s="1276">
        <v>26162</v>
      </c>
      <c r="K114" s="1275">
        <v>0.27433999999999997</v>
      </c>
      <c r="M114" s="1235"/>
      <c r="N114" s="1235"/>
      <c r="O114" s="1235"/>
      <c r="P114" s="1235"/>
      <c r="Q114" s="1235"/>
      <c r="R114" s="1235"/>
      <c r="S114" s="1235"/>
      <c r="T114" s="1235"/>
      <c r="U114" s="1235"/>
      <c r="V114" s="1235"/>
      <c r="W114" s="1235"/>
      <c r="X114" s="1235"/>
      <c r="Y114" s="1235"/>
      <c r="Z114" s="1235"/>
      <c r="AA114" s="1235"/>
      <c r="AB114" s="1235"/>
      <c r="AC114" s="1235"/>
      <c r="AD114" s="1235"/>
      <c r="AE114" s="1235"/>
      <c r="AF114" s="1235"/>
      <c r="AG114" s="1235"/>
      <c r="AH114" s="1235"/>
      <c r="AI114" s="1235"/>
      <c r="AJ114" s="1235"/>
    </row>
    <row r="115" spans="1:36" s="1232" customFormat="1" ht="12.75" customHeight="1">
      <c r="A115" s="1230" t="s">
        <v>66</v>
      </c>
      <c r="B115" s="1230">
        <v>1102900492.22</v>
      </c>
      <c r="C115" s="1262">
        <v>0.11162</v>
      </c>
      <c r="D115" s="1247">
        <v>7031</v>
      </c>
      <c r="E115" s="1262">
        <v>7.3730000000000004E-2</v>
      </c>
      <c r="G115" s="1273" t="s">
        <v>866</v>
      </c>
      <c r="H115" s="1274">
        <v>967085274.24000001</v>
      </c>
      <c r="I115" s="1275">
        <v>9.7879999999999995E-2</v>
      </c>
      <c r="J115" s="1276">
        <v>9011</v>
      </c>
      <c r="K115" s="1275">
        <v>9.4490000000000005E-2</v>
      </c>
      <c r="M115" s="1235"/>
      <c r="N115" s="1235"/>
      <c r="O115" s="1235"/>
      <c r="P115" s="1235"/>
      <c r="Q115" s="1235"/>
      <c r="R115" s="1235"/>
      <c r="S115" s="1235"/>
      <c r="T115" s="1235"/>
      <c r="U115" s="1235"/>
      <c r="V115" s="1235"/>
      <c r="W115" s="1235"/>
      <c r="X115" s="1235"/>
      <c r="Y115" s="1235"/>
      <c r="Z115" s="1235"/>
      <c r="AA115" s="1235"/>
      <c r="AB115" s="1235"/>
      <c r="AC115" s="1235"/>
      <c r="AD115" s="1235"/>
      <c r="AE115" s="1235"/>
      <c r="AF115" s="1235"/>
      <c r="AG115" s="1235"/>
      <c r="AH115" s="1235"/>
      <c r="AI115" s="1235"/>
      <c r="AJ115" s="1235"/>
    </row>
    <row r="116" spans="1:36" s="1232" customFormat="1">
      <c r="A116" s="1230" t="s">
        <v>67</v>
      </c>
      <c r="B116" s="1230">
        <v>316683710.08999997</v>
      </c>
      <c r="C116" s="1262">
        <v>3.2050000000000002E-2</v>
      </c>
      <c r="D116" s="1247">
        <v>4053</v>
      </c>
      <c r="E116" s="1262">
        <v>4.2500000000000003E-2</v>
      </c>
      <c r="G116" s="1273" t="s">
        <v>867</v>
      </c>
      <c r="H116" s="1274">
        <v>2982943326.46</v>
      </c>
      <c r="I116" s="1275">
        <v>0.3019</v>
      </c>
      <c r="J116" s="1276">
        <v>32173</v>
      </c>
      <c r="K116" s="1275">
        <v>0.33737</v>
      </c>
      <c r="M116" s="1235"/>
      <c r="N116" s="1235"/>
      <c r="O116" s="1235"/>
      <c r="P116" s="1235"/>
      <c r="Q116" s="1235"/>
      <c r="R116" s="1235"/>
      <c r="S116" s="1235"/>
      <c r="T116" s="1235"/>
      <c r="U116" s="1235"/>
      <c r="V116" s="1235"/>
      <c r="W116" s="1235"/>
      <c r="X116" s="1235"/>
      <c r="Y116" s="1235"/>
      <c r="Z116" s="1235"/>
      <c r="AA116" s="1235"/>
      <c r="AB116" s="1235"/>
      <c r="AC116" s="1235"/>
      <c r="AD116" s="1235"/>
      <c r="AE116" s="1235"/>
      <c r="AF116" s="1235"/>
      <c r="AG116" s="1235"/>
      <c r="AH116" s="1235"/>
      <c r="AI116" s="1235"/>
      <c r="AJ116" s="1235"/>
    </row>
    <row r="117" spans="1:36" s="1232" customFormat="1">
      <c r="A117" s="1230" t="s">
        <v>68</v>
      </c>
      <c r="B117" s="1230">
        <v>824485536.14999998</v>
      </c>
      <c r="C117" s="1262">
        <v>8.3449999999999996E-2</v>
      </c>
      <c r="D117" s="1247">
        <v>9538</v>
      </c>
      <c r="E117" s="1262">
        <v>0.10002</v>
      </c>
      <c r="G117" s="1273" t="s">
        <v>868</v>
      </c>
      <c r="H117" s="1274">
        <v>1983731746.0599999</v>
      </c>
      <c r="I117" s="1275">
        <v>0.20077</v>
      </c>
      <c r="J117" s="1276">
        <v>22798</v>
      </c>
      <c r="K117" s="1275">
        <v>0.23905999999999999</v>
      </c>
      <c r="M117" s="1235"/>
      <c r="N117" s="1235"/>
      <c r="O117" s="1235"/>
      <c r="P117" s="1235"/>
      <c r="Q117" s="1235"/>
      <c r="R117" s="1235"/>
      <c r="S117" s="1235"/>
      <c r="T117" s="1235"/>
      <c r="U117" s="1235"/>
      <c r="V117" s="1235"/>
      <c r="W117" s="1235"/>
      <c r="X117" s="1235"/>
      <c r="Y117" s="1235"/>
      <c r="Z117" s="1235"/>
      <c r="AA117" s="1235"/>
      <c r="AB117" s="1235"/>
      <c r="AC117" s="1235"/>
      <c r="AD117" s="1235"/>
      <c r="AE117" s="1235"/>
      <c r="AF117" s="1235"/>
      <c r="AG117" s="1235"/>
      <c r="AH117" s="1235"/>
      <c r="AI117" s="1235"/>
      <c r="AJ117" s="1235"/>
    </row>
    <row r="118" spans="1:36" s="1232" customFormat="1" ht="13.5" thickBot="1">
      <c r="A118" s="1230" t="s">
        <v>69</v>
      </c>
      <c r="B118" s="1230">
        <v>262706630.50999999</v>
      </c>
      <c r="C118" s="1262">
        <v>2.6589999999999999E-2</v>
      </c>
      <c r="D118" s="1247">
        <v>3240</v>
      </c>
      <c r="E118" s="1262">
        <v>3.3980000000000003E-2</v>
      </c>
      <c r="G118" s="1252" t="s">
        <v>814</v>
      </c>
      <c r="H118" s="1253">
        <v>9880455830.0200005</v>
      </c>
      <c r="I118" s="1250">
        <v>1</v>
      </c>
      <c r="J118" s="1251">
        <v>95364</v>
      </c>
      <c r="K118" s="1250">
        <v>1</v>
      </c>
      <c r="M118" s="1235"/>
      <c r="N118" s="1235"/>
      <c r="O118" s="1235"/>
      <c r="P118" s="1235"/>
      <c r="Q118" s="1235"/>
      <c r="R118" s="1235"/>
      <c r="S118" s="1235"/>
      <c r="T118" s="1235"/>
      <c r="U118" s="1235"/>
      <c r="V118" s="1235"/>
      <c r="W118" s="1235"/>
      <c r="X118" s="1235"/>
      <c r="Y118" s="1235"/>
      <c r="Z118" s="1235"/>
      <c r="AA118" s="1235"/>
      <c r="AB118" s="1235"/>
      <c r="AC118" s="1235"/>
      <c r="AD118" s="1235"/>
      <c r="AE118" s="1235"/>
      <c r="AF118" s="1235"/>
      <c r="AG118" s="1235"/>
      <c r="AH118" s="1235"/>
      <c r="AI118" s="1235"/>
      <c r="AJ118" s="1235"/>
    </row>
    <row r="119" spans="1:36" s="1232" customFormat="1" ht="13.5" thickTop="1">
      <c r="A119" s="1230" t="s">
        <v>70</v>
      </c>
      <c r="B119" s="1230">
        <v>3723919327.4200001</v>
      </c>
      <c r="C119" s="1262">
        <v>0.37690000000000001</v>
      </c>
      <c r="D119" s="1247">
        <v>31228</v>
      </c>
      <c r="E119" s="1262">
        <v>0.32745999999999997</v>
      </c>
      <c r="M119" s="1235"/>
      <c r="N119" s="1235"/>
      <c r="O119" s="1235"/>
      <c r="P119" s="1235"/>
      <c r="Q119" s="1235"/>
      <c r="R119" s="1235"/>
      <c r="S119" s="1235"/>
      <c r="T119" s="1235"/>
      <c r="U119" s="1235"/>
      <c r="V119" s="1235"/>
      <c r="W119" s="1235"/>
      <c r="X119" s="1235"/>
      <c r="Y119" s="1235"/>
      <c r="Z119" s="1235"/>
      <c r="AA119" s="1235"/>
      <c r="AB119" s="1235"/>
      <c r="AC119" s="1235"/>
      <c r="AD119" s="1235"/>
      <c r="AE119" s="1235"/>
      <c r="AF119" s="1235"/>
      <c r="AG119" s="1235"/>
      <c r="AH119" s="1235"/>
      <c r="AI119" s="1235"/>
      <c r="AJ119" s="1235"/>
    </row>
    <row r="120" spans="1:36" s="1232" customFormat="1">
      <c r="A120" s="1230" t="s">
        <v>71</v>
      </c>
      <c r="B120" s="1230">
        <v>797960422.82000005</v>
      </c>
      <c r="C120" s="1262">
        <v>8.0759999999999998E-2</v>
      </c>
      <c r="D120" s="1247">
        <v>8112</v>
      </c>
      <c r="E120" s="1262">
        <v>8.5059999999999997E-2</v>
      </c>
      <c r="M120" s="1235"/>
      <c r="N120" s="1235"/>
      <c r="O120" s="1235"/>
      <c r="P120" s="1235"/>
      <c r="Q120" s="1235"/>
      <c r="R120" s="1235"/>
      <c r="S120" s="1235"/>
      <c r="T120" s="1235"/>
      <c r="U120" s="1235"/>
      <c r="V120" s="1235"/>
      <c r="W120" s="1235"/>
      <c r="X120" s="1235"/>
      <c r="Y120" s="1235"/>
      <c r="Z120" s="1235"/>
      <c r="AA120" s="1235"/>
      <c r="AB120" s="1235"/>
      <c r="AC120" s="1235"/>
      <c r="AD120" s="1235"/>
      <c r="AE120" s="1235"/>
      <c r="AF120" s="1235"/>
      <c r="AG120" s="1235"/>
      <c r="AH120" s="1235"/>
      <c r="AI120" s="1235"/>
      <c r="AJ120" s="1235"/>
    </row>
    <row r="121" spans="1:36" s="1232" customFormat="1">
      <c r="A121" s="1230" t="s">
        <v>72</v>
      </c>
      <c r="B121" s="1230">
        <v>388968958.19999999</v>
      </c>
      <c r="C121" s="1262">
        <v>3.9370000000000002E-2</v>
      </c>
      <c r="D121" s="1247">
        <v>4848</v>
      </c>
      <c r="E121" s="1262">
        <v>5.0840000000000003E-2</v>
      </c>
      <c r="G121" s="1269"/>
      <c r="H121" s="1269"/>
      <c r="I121" s="1269"/>
      <c r="M121" s="1235"/>
      <c r="N121" s="1235"/>
      <c r="O121" s="1235"/>
      <c r="P121" s="1235"/>
      <c r="Q121" s="1235"/>
      <c r="R121" s="1235"/>
      <c r="S121" s="1235"/>
      <c r="T121" s="1235"/>
      <c r="U121" s="1235"/>
      <c r="V121" s="1235"/>
      <c r="W121" s="1235"/>
      <c r="X121" s="1235"/>
      <c r="Y121" s="1235"/>
      <c r="Z121" s="1235"/>
      <c r="AA121" s="1235"/>
      <c r="AB121" s="1235"/>
      <c r="AC121" s="1235"/>
      <c r="AD121" s="1235"/>
      <c r="AE121" s="1235"/>
      <c r="AF121" s="1235"/>
      <c r="AG121" s="1235"/>
      <c r="AH121" s="1235"/>
      <c r="AI121" s="1235"/>
      <c r="AJ121" s="1235"/>
    </row>
    <row r="122" spans="1:36" s="1232" customFormat="1">
      <c r="A122" s="1230" t="s">
        <v>73</v>
      </c>
      <c r="B122" s="1230">
        <v>672207096.04999995</v>
      </c>
      <c r="C122" s="1262">
        <v>6.8029999999999993E-2</v>
      </c>
      <c r="D122" s="1247">
        <v>7487</v>
      </c>
      <c r="E122" s="1262">
        <v>7.8509999999999996E-2</v>
      </c>
      <c r="F122" s="1277"/>
      <c r="G122" s="1269"/>
      <c r="H122" s="1269"/>
      <c r="I122" s="1269"/>
      <c r="M122" s="1235"/>
      <c r="N122" s="1235"/>
      <c r="O122" s="1235"/>
      <c r="P122" s="1235"/>
      <c r="Q122" s="1235"/>
      <c r="R122" s="1235"/>
      <c r="S122" s="1235"/>
      <c r="T122" s="1235"/>
      <c r="U122" s="1235"/>
      <c r="V122" s="1235"/>
      <c r="W122" s="1235"/>
      <c r="X122" s="1235"/>
      <c r="Y122" s="1235"/>
      <c r="Z122" s="1235"/>
      <c r="AA122" s="1235"/>
      <c r="AB122" s="1235"/>
      <c r="AC122" s="1235"/>
      <c r="AD122" s="1235"/>
      <c r="AE122" s="1235"/>
      <c r="AF122" s="1235"/>
      <c r="AG122" s="1235"/>
      <c r="AH122" s="1235"/>
      <c r="AI122" s="1235"/>
      <c r="AJ122" s="1235"/>
    </row>
    <row r="123" spans="1:36" s="1232" customFormat="1">
      <c r="A123" s="1230" t="s">
        <v>74</v>
      </c>
      <c r="B123" s="1230">
        <v>570049828</v>
      </c>
      <c r="C123" s="1262">
        <v>5.7689999999999998E-2</v>
      </c>
      <c r="D123" s="1247">
        <v>6831</v>
      </c>
      <c r="E123" s="1262">
        <v>7.1629999999999999E-2</v>
      </c>
      <c r="F123" s="1278"/>
      <c r="G123" s="1234"/>
      <c r="H123" s="1234"/>
      <c r="I123" s="1234"/>
      <c r="M123" s="1235"/>
      <c r="N123" s="1235"/>
      <c r="O123" s="1235"/>
      <c r="P123" s="1235"/>
      <c r="Q123" s="1235"/>
      <c r="R123" s="1235"/>
      <c r="S123" s="1235"/>
      <c r="T123" s="1235"/>
      <c r="U123" s="1235"/>
      <c r="V123" s="1235"/>
      <c r="W123" s="1235"/>
      <c r="X123" s="1235"/>
      <c r="Y123" s="1235"/>
      <c r="Z123" s="1235"/>
      <c r="AA123" s="1235"/>
      <c r="AB123" s="1235"/>
      <c r="AC123" s="1235"/>
      <c r="AD123" s="1235"/>
      <c r="AE123" s="1235"/>
      <c r="AF123" s="1235"/>
      <c r="AG123" s="1235"/>
      <c r="AH123" s="1235"/>
      <c r="AI123" s="1235"/>
      <c r="AJ123" s="1235"/>
    </row>
    <row r="124" spans="1:36" s="1232" customFormat="1" ht="13.5" thickBot="1">
      <c r="A124" s="1252" t="s">
        <v>814</v>
      </c>
      <c r="B124" s="1253">
        <v>9880455830.0199986</v>
      </c>
      <c r="C124" s="1250">
        <v>0.99999000000000005</v>
      </c>
      <c r="D124" s="1251">
        <v>95364</v>
      </c>
      <c r="E124" s="1250">
        <v>1.0000100000000001</v>
      </c>
      <c r="G124" s="1234"/>
      <c r="H124" s="1234"/>
      <c r="I124" s="1234"/>
      <c r="M124" s="1235"/>
      <c r="N124" s="1235"/>
      <c r="O124" s="1235"/>
      <c r="P124" s="1235"/>
      <c r="Q124" s="1235"/>
      <c r="R124" s="1235"/>
      <c r="S124" s="1235"/>
      <c r="T124" s="1235"/>
      <c r="U124" s="1235"/>
      <c r="V124" s="1235"/>
      <c r="W124" s="1235"/>
      <c r="X124" s="1235"/>
      <c r="Y124" s="1235"/>
      <c r="Z124" s="1235"/>
      <c r="AA124" s="1235"/>
      <c r="AB124" s="1235"/>
      <c r="AC124" s="1235"/>
      <c r="AD124" s="1235"/>
      <c r="AE124" s="1235"/>
      <c r="AF124" s="1235"/>
      <c r="AG124" s="1235"/>
      <c r="AH124" s="1235"/>
      <c r="AI124" s="1235"/>
      <c r="AJ124" s="1235"/>
    </row>
    <row r="125" spans="1:36" s="1232" customFormat="1" ht="13.5" thickTop="1">
      <c r="A125" s="1252"/>
      <c r="B125" s="1279"/>
      <c r="C125" s="1255"/>
      <c r="D125" s="1260"/>
      <c r="E125" s="1255"/>
      <c r="G125" s="1234"/>
      <c r="H125" s="1234"/>
      <c r="I125" s="1234"/>
      <c r="M125" s="1235"/>
      <c r="N125" s="1235"/>
      <c r="O125" s="1235"/>
      <c r="P125" s="1235"/>
      <c r="Q125" s="1235"/>
      <c r="R125" s="1235"/>
      <c r="S125" s="1235"/>
      <c r="T125" s="1235"/>
      <c r="U125" s="1235"/>
      <c r="V125" s="1235"/>
      <c r="W125" s="1235"/>
      <c r="X125" s="1235"/>
      <c r="Y125" s="1235"/>
      <c r="Z125" s="1235"/>
      <c r="AA125" s="1235"/>
      <c r="AB125" s="1235"/>
      <c r="AC125" s="1235"/>
      <c r="AD125" s="1235"/>
      <c r="AE125" s="1235"/>
      <c r="AF125" s="1235"/>
      <c r="AG125" s="1235"/>
      <c r="AH125" s="1235"/>
      <c r="AI125" s="1235"/>
      <c r="AJ125" s="1235"/>
    </row>
    <row r="126" spans="1:36" s="1232" customFormat="1">
      <c r="A126" s="1252"/>
      <c r="B126" s="1279"/>
      <c r="C126" s="1255"/>
      <c r="D126" s="1260"/>
      <c r="E126" s="1255"/>
      <c r="G126" s="1234"/>
      <c r="H126" s="1234"/>
      <c r="I126" s="1234"/>
      <c r="M126" s="1235"/>
      <c r="N126" s="1235"/>
      <c r="O126" s="1235"/>
      <c r="P126" s="1235"/>
      <c r="Q126" s="1235"/>
      <c r="R126" s="1235"/>
      <c r="S126" s="1235"/>
      <c r="T126" s="1235"/>
      <c r="U126" s="1235"/>
      <c r="V126" s="1235"/>
      <c r="W126" s="1235"/>
      <c r="X126" s="1235"/>
      <c r="Y126" s="1235"/>
      <c r="Z126" s="1235"/>
      <c r="AA126" s="1235"/>
      <c r="AB126" s="1235"/>
      <c r="AC126" s="1235"/>
      <c r="AD126" s="1235"/>
      <c r="AE126" s="1235"/>
      <c r="AF126" s="1235"/>
      <c r="AG126" s="1235"/>
      <c r="AH126" s="1235"/>
      <c r="AI126" s="1235"/>
      <c r="AJ126" s="1235"/>
    </row>
    <row r="127" spans="1:36" s="1232" customFormat="1">
      <c r="A127" s="1252"/>
      <c r="B127" s="1279"/>
      <c r="C127" s="1255"/>
      <c r="D127" s="1260"/>
      <c r="E127" s="1255"/>
      <c r="G127" s="1234"/>
      <c r="H127" s="1234"/>
      <c r="I127" s="1234"/>
      <c r="M127" s="1235"/>
      <c r="N127" s="1235"/>
      <c r="O127" s="1235"/>
      <c r="P127" s="1235"/>
      <c r="Q127" s="1235"/>
      <c r="R127" s="1235"/>
      <c r="S127" s="1235"/>
      <c r="T127" s="1235"/>
      <c r="U127" s="1235"/>
      <c r="V127" s="1235"/>
      <c r="W127" s="1235"/>
      <c r="X127" s="1235"/>
      <c r="Y127" s="1235"/>
      <c r="Z127" s="1235"/>
      <c r="AA127" s="1235"/>
      <c r="AB127" s="1235"/>
      <c r="AC127" s="1235"/>
      <c r="AD127" s="1235"/>
      <c r="AE127" s="1235"/>
      <c r="AF127" s="1235"/>
      <c r="AG127" s="1235"/>
      <c r="AH127" s="1235"/>
      <c r="AI127" s="1235"/>
      <c r="AJ127" s="1235"/>
    </row>
    <row r="128" spans="1:36" s="1232" customFormat="1">
      <c r="A128" s="1280"/>
      <c r="B128" s="1230"/>
      <c r="C128" s="1246"/>
      <c r="D128" s="1230"/>
      <c r="E128" s="1246"/>
      <c r="F128" s="1269"/>
      <c r="M128" s="1235"/>
      <c r="N128" s="1235"/>
      <c r="O128" s="1235"/>
      <c r="P128" s="1235"/>
      <c r="Q128" s="1235"/>
      <c r="R128" s="1235"/>
      <c r="S128" s="1235"/>
      <c r="T128" s="1235"/>
      <c r="U128" s="1235"/>
      <c r="V128" s="1235"/>
      <c r="W128" s="1235"/>
      <c r="X128" s="1235"/>
      <c r="Y128" s="1235"/>
      <c r="Z128" s="1235"/>
      <c r="AA128" s="1235"/>
      <c r="AB128" s="1235"/>
      <c r="AC128" s="1235"/>
      <c r="AD128" s="1235"/>
      <c r="AE128" s="1235"/>
      <c r="AF128" s="1235"/>
      <c r="AG128" s="1235"/>
      <c r="AH128" s="1235"/>
      <c r="AI128" s="1235"/>
      <c r="AJ128" s="1235"/>
    </row>
    <row r="129" spans="1:36" s="1232" customFormat="1" ht="15.75">
      <c r="A129" s="1237" t="s">
        <v>810</v>
      </c>
      <c r="B129" s="1281"/>
      <c r="C129" s="1282"/>
      <c r="D129" s="1281"/>
      <c r="E129" s="1282"/>
      <c r="F129" s="1235"/>
      <c r="G129" s="1237" t="s">
        <v>815</v>
      </c>
      <c r="H129" s="1254"/>
      <c r="I129" s="1255"/>
      <c r="J129" s="1256"/>
      <c r="K129" s="1255"/>
      <c r="M129" s="1235"/>
      <c r="N129" s="1235"/>
      <c r="O129" s="1235"/>
      <c r="P129" s="1235"/>
      <c r="Q129" s="1235"/>
      <c r="R129" s="1235"/>
      <c r="S129" s="1235"/>
      <c r="T129" s="1235"/>
      <c r="U129" s="1235"/>
      <c r="V129" s="1235"/>
      <c r="W129" s="1235"/>
      <c r="X129" s="1235"/>
      <c r="Y129" s="1235"/>
      <c r="Z129" s="1235"/>
      <c r="AA129" s="1235"/>
      <c r="AB129" s="1235"/>
      <c r="AC129" s="1235"/>
      <c r="AD129" s="1235"/>
      <c r="AE129" s="1235"/>
      <c r="AF129" s="1235"/>
      <c r="AG129" s="1235"/>
      <c r="AH129" s="1235"/>
      <c r="AI129" s="1235"/>
      <c r="AJ129" s="1235"/>
    </row>
    <row r="130" spans="1:36" s="1232" customFormat="1" ht="25.5">
      <c r="A130" s="1283" t="s">
        <v>811</v>
      </c>
      <c r="B130" s="1240" t="s">
        <v>934</v>
      </c>
      <c r="C130" s="1241" t="s">
        <v>991</v>
      </c>
      <c r="D130" s="1240" t="s">
        <v>882</v>
      </c>
      <c r="E130" s="1241" t="s">
        <v>991</v>
      </c>
      <c r="F130" s="1187"/>
      <c r="G130" s="1284" t="s">
        <v>816</v>
      </c>
      <c r="H130" s="1240" t="s">
        <v>934</v>
      </c>
      <c r="I130" s="1241" t="s">
        <v>991</v>
      </c>
      <c r="J130" s="1285" t="s">
        <v>992</v>
      </c>
      <c r="K130" s="1241" t="s">
        <v>991</v>
      </c>
      <c r="M130" s="1235"/>
      <c r="N130" s="1235"/>
      <c r="O130" s="1235"/>
      <c r="P130" s="1235"/>
      <c r="Q130" s="1235"/>
      <c r="R130" s="1235"/>
      <c r="S130" s="1235"/>
      <c r="T130" s="1235"/>
      <c r="U130" s="1235"/>
      <c r="V130" s="1235"/>
      <c r="W130" s="1235"/>
      <c r="X130" s="1235"/>
      <c r="Y130" s="1235"/>
      <c r="Z130" s="1235"/>
      <c r="AA130" s="1235"/>
      <c r="AB130" s="1235"/>
      <c r="AC130" s="1235"/>
      <c r="AD130" s="1235"/>
      <c r="AE130" s="1235"/>
      <c r="AF130" s="1235"/>
      <c r="AG130" s="1235"/>
      <c r="AH130" s="1235"/>
      <c r="AI130" s="1235"/>
      <c r="AJ130" s="1235"/>
    </row>
    <row r="131" spans="1:36" s="1232" customFormat="1">
      <c r="A131" s="1286" t="s">
        <v>883</v>
      </c>
      <c r="B131" s="1230">
        <v>569596346.95000005</v>
      </c>
      <c r="C131" s="1262">
        <v>5.765E-2</v>
      </c>
      <c r="D131" s="1247">
        <v>16085</v>
      </c>
      <c r="E131" s="1262">
        <v>0.16866999999999999</v>
      </c>
      <c r="F131" s="1235"/>
      <c r="G131" s="1287" t="s">
        <v>883</v>
      </c>
      <c r="H131" s="1274">
        <v>192796635.93000001</v>
      </c>
      <c r="I131" s="1275">
        <v>1.951E-2</v>
      </c>
      <c r="J131" s="1276">
        <v>5737</v>
      </c>
      <c r="K131" s="1275">
        <v>6.0159999999999998E-2</v>
      </c>
      <c r="M131" s="1235"/>
      <c r="N131" s="1235"/>
      <c r="O131" s="1235"/>
      <c r="P131" s="1235"/>
      <c r="Q131" s="1235"/>
      <c r="R131" s="1235"/>
      <c r="S131" s="1235"/>
      <c r="T131" s="1235"/>
      <c r="U131" s="1235"/>
      <c r="V131" s="1235"/>
      <c r="W131" s="1235"/>
      <c r="X131" s="1235"/>
      <c r="Y131" s="1235"/>
      <c r="Z131" s="1235"/>
      <c r="AA131" s="1235"/>
      <c r="AB131" s="1235"/>
      <c r="AC131" s="1235"/>
      <c r="AD131" s="1235"/>
      <c r="AE131" s="1235"/>
      <c r="AF131" s="1235"/>
      <c r="AG131" s="1235"/>
      <c r="AH131" s="1235"/>
      <c r="AI131" s="1235"/>
      <c r="AJ131" s="1235"/>
    </row>
    <row r="132" spans="1:36" s="1232" customFormat="1" ht="13.5" customHeight="1">
      <c r="A132" s="1286" t="s">
        <v>884</v>
      </c>
      <c r="B132" s="1230">
        <v>884905433.77999997</v>
      </c>
      <c r="C132" s="1262">
        <v>8.9560000000000001E-2</v>
      </c>
      <c r="D132" s="1247">
        <v>13270</v>
      </c>
      <c r="E132" s="1262">
        <v>0.13915</v>
      </c>
      <c r="F132" s="1187"/>
      <c r="G132" s="1287" t="s">
        <v>884</v>
      </c>
      <c r="H132" s="1274">
        <v>514536556.38999999</v>
      </c>
      <c r="I132" s="1275">
        <v>5.2080000000000001E-2</v>
      </c>
      <c r="J132" s="1276">
        <v>9714</v>
      </c>
      <c r="K132" s="1275">
        <v>0.10186000000000001</v>
      </c>
      <c r="M132" s="1235"/>
      <c r="N132" s="1235"/>
      <c r="O132" s="1235"/>
      <c r="P132" s="1235"/>
      <c r="Q132" s="1235"/>
      <c r="R132" s="1235"/>
      <c r="S132" s="1235"/>
      <c r="T132" s="1235"/>
      <c r="U132" s="1235"/>
      <c r="V132" s="1235"/>
      <c r="W132" s="1235"/>
      <c r="X132" s="1235"/>
      <c r="Y132" s="1235"/>
      <c r="Z132" s="1235"/>
      <c r="AA132" s="1235"/>
      <c r="AB132" s="1235"/>
      <c r="AC132" s="1235"/>
      <c r="AD132" s="1235"/>
      <c r="AE132" s="1235"/>
      <c r="AF132" s="1235"/>
      <c r="AG132" s="1235"/>
      <c r="AH132" s="1235"/>
      <c r="AI132" s="1235"/>
      <c r="AJ132" s="1235"/>
    </row>
    <row r="133" spans="1:36" s="1232" customFormat="1" ht="13.5" customHeight="1">
      <c r="A133" s="1286" t="s">
        <v>885</v>
      </c>
      <c r="B133" s="1230">
        <v>1311850510.6199999</v>
      </c>
      <c r="C133" s="1262">
        <v>0.13277</v>
      </c>
      <c r="D133" s="1247">
        <v>14779</v>
      </c>
      <c r="E133" s="1262">
        <v>0.15497</v>
      </c>
      <c r="F133" s="1235"/>
      <c r="G133" s="1287" t="s">
        <v>885</v>
      </c>
      <c r="H133" s="1274">
        <v>940031885.44000006</v>
      </c>
      <c r="I133" s="1275">
        <v>9.5140000000000002E-2</v>
      </c>
      <c r="J133" s="1276">
        <v>13373</v>
      </c>
      <c r="K133" s="1275">
        <v>0.14022999999999999</v>
      </c>
      <c r="M133" s="1235"/>
      <c r="N133" s="1235"/>
      <c r="O133" s="1235"/>
      <c r="P133" s="1235"/>
      <c r="Q133" s="1235"/>
      <c r="R133" s="1235"/>
      <c r="S133" s="1235"/>
      <c r="T133" s="1235"/>
      <c r="U133" s="1235"/>
      <c r="V133" s="1235"/>
      <c r="W133" s="1235"/>
      <c r="X133" s="1235"/>
      <c r="Y133" s="1235"/>
      <c r="Z133" s="1235"/>
      <c r="AA133" s="1235"/>
      <c r="AB133" s="1235"/>
      <c r="AC133" s="1235"/>
      <c r="AD133" s="1235"/>
      <c r="AE133" s="1235"/>
      <c r="AF133" s="1235"/>
      <c r="AG133" s="1235"/>
      <c r="AH133" s="1235"/>
      <c r="AI133" s="1235"/>
      <c r="AJ133" s="1235"/>
    </row>
    <row r="134" spans="1:36" s="1232" customFormat="1" ht="13.5" customHeight="1">
      <c r="A134" s="1286" t="s">
        <v>886</v>
      </c>
      <c r="B134" s="1230">
        <v>1563125103.4100001</v>
      </c>
      <c r="C134" s="1262">
        <v>0.15820000000000001</v>
      </c>
      <c r="D134" s="1247">
        <v>14289</v>
      </c>
      <c r="E134" s="1262">
        <v>0.14984</v>
      </c>
      <c r="F134" s="1172"/>
      <c r="G134" s="1287" t="s">
        <v>886</v>
      </c>
      <c r="H134" s="1274">
        <v>1325669694.6900001</v>
      </c>
      <c r="I134" s="1275">
        <v>0.13417000000000001</v>
      </c>
      <c r="J134" s="1276">
        <v>14930</v>
      </c>
      <c r="K134" s="1275">
        <v>0.15656</v>
      </c>
      <c r="L134" s="1288"/>
      <c r="M134" s="1235"/>
      <c r="N134" s="1235"/>
      <c r="O134" s="1235"/>
      <c r="P134" s="1235"/>
      <c r="Q134" s="1235"/>
      <c r="R134" s="1235"/>
      <c r="S134" s="1235"/>
      <c r="T134" s="1235"/>
      <c r="U134" s="1235"/>
      <c r="V134" s="1235"/>
      <c r="W134" s="1235"/>
      <c r="X134" s="1235"/>
      <c r="Y134" s="1235"/>
      <c r="Z134" s="1235"/>
      <c r="AA134" s="1235"/>
      <c r="AB134" s="1235"/>
      <c r="AC134" s="1235"/>
      <c r="AD134" s="1235"/>
      <c r="AE134" s="1235"/>
      <c r="AF134" s="1235"/>
      <c r="AG134" s="1235"/>
      <c r="AH134" s="1235"/>
      <c r="AI134" s="1235"/>
      <c r="AJ134" s="1235"/>
    </row>
    <row r="135" spans="1:36" s="1232" customFormat="1" ht="13.5" customHeight="1">
      <c r="A135" s="1286" t="s">
        <v>887</v>
      </c>
      <c r="B135" s="1230">
        <v>1708518705.3699999</v>
      </c>
      <c r="C135" s="1262">
        <v>0.17291999999999999</v>
      </c>
      <c r="D135" s="1247">
        <v>12827</v>
      </c>
      <c r="E135" s="1262">
        <v>0.13450999999999999</v>
      </c>
      <c r="F135" s="1172"/>
      <c r="G135" s="1287" t="s">
        <v>887</v>
      </c>
      <c r="H135" s="1274">
        <v>1829957276.1199999</v>
      </c>
      <c r="I135" s="1275">
        <v>0.18521000000000001</v>
      </c>
      <c r="J135" s="1276">
        <v>16197</v>
      </c>
      <c r="K135" s="1275">
        <v>0.16983999999999999</v>
      </c>
      <c r="M135" s="1235"/>
      <c r="N135" s="1235"/>
      <c r="O135" s="1235"/>
      <c r="P135" s="1235"/>
      <c r="Q135" s="1235"/>
      <c r="R135" s="1235"/>
      <c r="S135" s="1235"/>
      <c r="T135" s="1235"/>
      <c r="U135" s="1235"/>
      <c r="V135" s="1235"/>
      <c r="W135" s="1235"/>
      <c r="X135" s="1235"/>
      <c r="Y135" s="1235"/>
      <c r="Z135" s="1235"/>
      <c r="AA135" s="1235"/>
      <c r="AB135" s="1235"/>
      <c r="AC135" s="1235"/>
      <c r="AD135" s="1235"/>
      <c r="AE135" s="1235"/>
      <c r="AF135" s="1235"/>
      <c r="AG135" s="1235"/>
      <c r="AH135" s="1235"/>
      <c r="AI135" s="1235"/>
      <c r="AJ135" s="1235"/>
    </row>
    <row r="136" spans="1:36" s="1232" customFormat="1" ht="13.5" customHeight="1">
      <c r="A136" s="1286" t="s">
        <v>888</v>
      </c>
      <c r="B136" s="1230">
        <v>1687043570.28</v>
      </c>
      <c r="C136" s="1262">
        <v>0.17075000000000001</v>
      </c>
      <c r="D136" s="1247">
        <v>11269</v>
      </c>
      <c r="E136" s="1262">
        <v>0.11817</v>
      </c>
      <c r="F136" s="1172"/>
      <c r="G136" s="1287" t="s">
        <v>888</v>
      </c>
      <c r="H136" s="1274">
        <v>1805205597.5899999</v>
      </c>
      <c r="I136" s="1275">
        <v>0.1827</v>
      </c>
      <c r="J136" s="1276">
        <v>13645</v>
      </c>
      <c r="K136" s="1275">
        <v>0.14308000000000001</v>
      </c>
      <c r="M136" s="1235"/>
      <c r="N136" s="1235"/>
      <c r="O136" s="1235"/>
      <c r="P136" s="1235"/>
      <c r="Q136" s="1235"/>
      <c r="R136" s="1235"/>
      <c r="S136" s="1235"/>
      <c r="T136" s="1235"/>
      <c r="U136" s="1235"/>
      <c r="V136" s="1235"/>
      <c r="W136" s="1235"/>
      <c r="X136" s="1235"/>
      <c r="Y136" s="1235"/>
      <c r="Z136" s="1235"/>
      <c r="AA136" s="1235"/>
      <c r="AB136" s="1235"/>
      <c r="AC136" s="1235"/>
      <c r="AD136" s="1235"/>
      <c r="AE136" s="1235"/>
      <c r="AF136" s="1235"/>
      <c r="AG136" s="1235"/>
      <c r="AH136" s="1235"/>
      <c r="AI136" s="1235"/>
      <c r="AJ136" s="1235"/>
    </row>
    <row r="137" spans="1:36" s="1232" customFormat="1" ht="12.75" customHeight="1">
      <c r="A137" s="1286" t="s">
        <v>889</v>
      </c>
      <c r="B137" s="1230">
        <v>1582959725.29</v>
      </c>
      <c r="C137" s="1262">
        <v>0.16020999999999999</v>
      </c>
      <c r="D137" s="1247">
        <v>9395</v>
      </c>
      <c r="E137" s="1262">
        <v>9.8519999999999996E-2</v>
      </c>
      <c r="F137" s="1235"/>
      <c r="G137" s="1287" t="s">
        <v>889</v>
      </c>
      <c r="H137" s="1274">
        <v>2233929921.1599998</v>
      </c>
      <c r="I137" s="1275">
        <v>0.2261</v>
      </c>
      <c r="J137" s="1276">
        <v>14825</v>
      </c>
      <c r="K137" s="1275">
        <v>0.15545999999999999</v>
      </c>
      <c r="M137" s="1235"/>
      <c r="N137" s="1235"/>
      <c r="O137" s="1235"/>
      <c r="P137" s="1235"/>
      <c r="Q137" s="1235"/>
      <c r="R137" s="1235"/>
      <c r="S137" s="1235"/>
      <c r="T137" s="1235"/>
      <c r="U137" s="1235"/>
      <c r="V137" s="1235"/>
      <c r="W137" s="1235"/>
      <c r="X137" s="1235"/>
      <c r="Y137" s="1235"/>
      <c r="Z137" s="1235"/>
      <c r="AA137" s="1235"/>
      <c r="AB137" s="1235"/>
      <c r="AC137" s="1235"/>
      <c r="AD137" s="1235"/>
      <c r="AE137" s="1235"/>
      <c r="AF137" s="1235"/>
      <c r="AG137" s="1235"/>
      <c r="AH137" s="1235"/>
      <c r="AI137" s="1235"/>
      <c r="AJ137" s="1235"/>
    </row>
    <row r="138" spans="1:36" s="1232" customFormat="1">
      <c r="A138" s="1286" t="s">
        <v>890</v>
      </c>
      <c r="B138" s="1230">
        <v>553018217.58000004</v>
      </c>
      <c r="C138" s="1262">
        <v>5.5969999999999999E-2</v>
      </c>
      <c r="D138" s="1247">
        <v>3344</v>
      </c>
      <c r="E138" s="1262">
        <v>3.5069999999999997E-2</v>
      </c>
      <c r="F138" s="1235"/>
      <c r="G138" s="1287" t="s">
        <v>890</v>
      </c>
      <c r="H138" s="1274">
        <v>1012631003.92</v>
      </c>
      <c r="I138" s="1275">
        <v>0.10249</v>
      </c>
      <c r="J138" s="1276">
        <v>6791</v>
      </c>
      <c r="K138" s="1275">
        <v>7.1209999999999996E-2</v>
      </c>
      <c r="M138" s="1235"/>
      <c r="N138" s="1235"/>
      <c r="O138" s="1235"/>
      <c r="P138" s="1235"/>
      <c r="Q138" s="1235"/>
      <c r="R138" s="1235"/>
      <c r="S138" s="1235"/>
      <c r="T138" s="1235"/>
      <c r="U138" s="1235"/>
      <c r="V138" s="1235"/>
      <c r="W138" s="1235"/>
      <c r="X138" s="1235"/>
      <c r="Y138" s="1235"/>
      <c r="Z138" s="1235"/>
      <c r="AA138" s="1235"/>
      <c r="AB138" s="1235"/>
      <c r="AC138" s="1235"/>
      <c r="AD138" s="1235"/>
      <c r="AE138" s="1235"/>
      <c r="AF138" s="1235"/>
      <c r="AG138" s="1235"/>
      <c r="AH138" s="1235"/>
      <c r="AI138" s="1235"/>
      <c r="AJ138" s="1235"/>
    </row>
    <row r="139" spans="1:36" s="1232" customFormat="1" ht="13.5" customHeight="1">
      <c r="A139" s="1286" t="s">
        <v>813</v>
      </c>
      <c r="B139" s="1230">
        <v>19438216.739999998</v>
      </c>
      <c r="C139" s="1262">
        <v>1.97E-3</v>
      </c>
      <c r="D139" s="1247">
        <v>106</v>
      </c>
      <c r="E139" s="1262">
        <v>1.1100000000000001E-3</v>
      </c>
      <c r="F139" s="1235"/>
      <c r="G139" s="1287" t="s">
        <v>813</v>
      </c>
      <c r="H139" s="1274">
        <v>25697258.780000001</v>
      </c>
      <c r="I139" s="1275">
        <v>2.5999999999999999E-3</v>
      </c>
      <c r="J139" s="1276">
        <v>152</v>
      </c>
      <c r="K139" s="1275">
        <v>1.5900000000000001E-3</v>
      </c>
      <c r="M139" s="1235"/>
      <c r="N139" s="1235"/>
      <c r="O139" s="1235"/>
      <c r="P139" s="1235"/>
      <c r="Q139" s="1235"/>
      <c r="R139" s="1235"/>
      <c r="S139" s="1235"/>
      <c r="T139" s="1235"/>
      <c r="U139" s="1235"/>
      <c r="V139" s="1235"/>
      <c r="W139" s="1235"/>
      <c r="X139" s="1235"/>
      <c r="Y139" s="1235"/>
      <c r="Z139" s="1235"/>
      <c r="AA139" s="1235"/>
      <c r="AB139" s="1235"/>
      <c r="AC139" s="1235"/>
      <c r="AD139" s="1235"/>
      <c r="AE139" s="1235"/>
      <c r="AF139" s="1235"/>
      <c r="AG139" s="1235"/>
      <c r="AH139" s="1235"/>
      <c r="AI139" s="1235"/>
      <c r="AJ139" s="1235"/>
    </row>
    <row r="140" spans="1:36" s="1232" customFormat="1" ht="13.5" customHeight="1" thickBot="1">
      <c r="A140" s="1252" t="s">
        <v>814</v>
      </c>
      <c r="B140" s="1253">
        <v>9880455830.0200005</v>
      </c>
      <c r="C140" s="1250">
        <v>0.99999999999999989</v>
      </c>
      <c r="D140" s="1251">
        <v>95364</v>
      </c>
      <c r="E140" s="1250">
        <v>1.0000100000000001</v>
      </c>
      <c r="F140" s="1235"/>
      <c r="G140" s="1252" t="s">
        <v>814</v>
      </c>
      <c r="H140" s="1253">
        <v>9880455830.0200005</v>
      </c>
      <c r="I140" s="1250">
        <v>1</v>
      </c>
      <c r="J140" s="1251">
        <v>95364</v>
      </c>
      <c r="K140" s="1250">
        <v>0.99998999999999993</v>
      </c>
      <c r="M140" s="1235"/>
      <c r="N140" s="1235"/>
      <c r="O140" s="1235"/>
      <c r="P140" s="1235"/>
      <c r="Q140" s="1235"/>
      <c r="R140" s="1235"/>
      <c r="S140" s="1235"/>
      <c r="T140" s="1235"/>
      <c r="U140" s="1235"/>
      <c r="V140" s="1235"/>
      <c r="W140" s="1235"/>
      <c r="X140" s="1235"/>
      <c r="Y140" s="1235"/>
      <c r="Z140" s="1235"/>
      <c r="AA140" s="1235"/>
      <c r="AB140" s="1235"/>
      <c r="AC140" s="1235"/>
      <c r="AD140" s="1235"/>
      <c r="AE140" s="1235"/>
      <c r="AF140" s="1235"/>
      <c r="AG140" s="1235"/>
      <c r="AH140" s="1235"/>
      <c r="AI140" s="1235"/>
      <c r="AJ140" s="1235"/>
    </row>
    <row r="141" spans="1:36" s="1232" customFormat="1" ht="13.5" customHeight="1" thickTop="1">
      <c r="A141" s="1289"/>
      <c r="B141" s="1254"/>
      <c r="C141" s="1255"/>
      <c r="D141" s="1256"/>
      <c r="E141" s="1255"/>
      <c r="F141" s="1235"/>
      <c r="M141" s="1235"/>
      <c r="N141" s="1235"/>
      <c r="O141" s="1235"/>
      <c r="P141" s="1235"/>
      <c r="Q141" s="1235"/>
      <c r="R141" s="1235"/>
      <c r="S141" s="1235"/>
      <c r="T141" s="1235"/>
      <c r="U141" s="1235"/>
      <c r="V141" s="1235"/>
      <c r="W141" s="1235"/>
      <c r="X141" s="1235"/>
      <c r="Y141" s="1235"/>
      <c r="Z141" s="1235"/>
      <c r="AA141" s="1235"/>
      <c r="AB141" s="1235"/>
      <c r="AC141" s="1235"/>
      <c r="AD141" s="1235"/>
      <c r="AE141" s="1235"/>
      <c r="AF141" s="1235"/>
      <c r="AG141" s="1235"/>
      <c r="AH141" s="1235"/>
      <c r="AI141" s="1235"/>
      <c r="AJ141" s="1235"/>
    </row>
    <row r="142" spans="1:36" s="1232" customFormat="1" ht="13.5" customHeight="1">
      <c r="A142" s="1289"/>
      <c r="B142" s="1254"/>
      <c r="C142" s="1255"/>
      <c r="D142" s="1256"/>
      <c r="E142" s="1255"/>
      <c r="F142" s="1235"/>
      <c r="M142" s="1235"/>
      <c r="N142" s="1235"/>
      <c r="O142" s="1235"/>
      <c r="P142" s="1235"/>
      <c r="Q142" s="1235"/>
      <c r="R142" s="1235"/>
      <c r="S142" s="1235"/>
      <c r="T142" s="1235"/>
      <c r="U142" s="1235"/>
      <c r="V142" s="1235"/>
      <c r="W142" s="1235"/>
      <c r="X142" s="1235"/>
      <c r="Y142" s="1235"/>
      <c r="Z142" s="1235"/>
      <c r="AA142" s="1235"/>
      <c r="AB142" s="1235"/>
      <c r="AC142" s="1235"/>
      <c r="AD142" s="1235"/>
      <c r="AE142" s="1235"/>
      <c r="AF142" s="1235"/>
      <c r="AG142" s="1235"/>
      <c r="AH142" s="1235"/>
      <c r="AI142" s="1235"/>
      <c r="AJ142" s="1235"/>
    </row>
    <row r="143" spans="1:36" s="1232" customFormat="1">
      <c r="A143" s="1289"/>
      <c r="B143" s="1254"/>
      <c r="C143" s="1255"/>
      <c r="D143" s="1254"/>
      <c r="E143" s="1255"/>
      <c r="F143" s="1172"/>
      <c r="M143" s="1235"/>
      <c r="N143" s="1235"/>
      <c r="O143" s="1235"/>
      <c r="P143" s="1235"/>
      <c r="Q143" s="1235"/>
      <c r="R143" s="1235"/>
      <c r="S143" s="1235"/>
      <c r="T143" s="1235"/>
      <c r="U143" s="1235"/>
      <c r="V143" s="1235"/>
      <c r="W143" s="1235"/>
      <c r="X143" s="1235"/>
      <c r="Y143" s="1235"/>
      <c r="Z143" s="1235"/>
      <c r="AA143" s="1235"/>
      <c r="AB143" s="1235"/>
      <c r="AC143" s="1235"/>
      <c r="AD143" s="1235"/>
      <c r="AE143" s="1235"/>
      <c r="AF143" s="1235"/>
      <c r="AG143" s="1235"/>
      <c r="AH143" s="1235"/>
      <c r="AI143" s="1235"/>
      <c r="AJ143" s="1235"/>
    </row>
    <row r="144" spans="1:36" s="1232" customFormat="1" ht="15" customHeight="1">
      <c r="A144" s="1237" t="s">
        <v>93</v>
      </c>
      <c r="B144" s="1254"/>
      <c r="C144" s="1255"/>
      <c r="D144" s="1254"/>
      <c r="E144" s="1255"/>
      <c r="F144" s="1172"/>
      <c r="G144" s="1237" t="s">
        <v>95</v>
      </c>
      <c r="H144" s="1230"/>
      <c r="I144" s="1246"/>
      <c r="J144" s="1230"/>
      <c r="K144" s="1246"/>
      <c r="M144" s="1235"/>
      <c r="N144" s="1235"/>
      <c r="O144" s="1235"/>
      <c r="P144" s="1235"/>
      <c r="Q144" s="1235"/>
      <c r="R144" s="1235"/>
      <c r="S144" s="1235"/>
      <c r="T144" s="1235"/>
      <c r="U144" s="1235"/>
      <c r="V144" s="1235"/>
      <c r="W144" s="1235"/>
      <c r="X144" s="1235"/>
      <c r="Y144" s="1235"/>
      <c r="Z144" s="1235"/>
      <c r="AA144" s="1235"/>
      <c r="AB144" s="1235"/>
      <c r="AC144" s="1235"/>
      <c r="AD144" s="1235"/>
      <c r="AE144" s="1235"/>
      <c r="AF144" s="1235"/>
      <c r="AG144" s="1235"/>
      <c r="AH144" s="1235"/>
      <c r="AI144" s="1235"/>
      <c r="AJ144" s="1235"/>
    </row>
    <row r="145" spans="1:36" s="1232" customFormat="1" ht="12.75" customHeight="1">
      <c r="A145" s="1290" t="s">
        <v>94</v>
      </c>
      <c r="B145" s="1240" t="s">
        <v>934</v>
      </c>
      <c r="C145" s="1241" t="s">
        <v>991</v>
      </c>
      <c r="D145" s="1240" t="s">
        <v>992</v>
      </c>
      <c r="E145" s="1241" t="s">
        <v>991</v>
      </c>
      <c r="F145" s="1172"/>
      <c r="G145" s="1243" t="s">
        <v>720</v>
      </c>
      <c r="H145" s="1240" t="s">
        <v>934</v>
      </c>
      <c r="I145" s="1241" t="s">
        <v>991</v>
      </c>
      <c r="J145" s="1240" t="s">
        <v>882</v>
      </c>
      <c r="K145" s="1241" t="s">
        <v>991</v>
      </c>
      <c r="M145" s="1235"/>
      <c r="N145" s="1235"/>
      <c r="O145" s="1235"/>
      <c r="P145" s="1235"/>
      <c r="Q145" s="1235"/>
      <c r="R145" s="1235"/>
      <c r="S145" s="1235"/>
      <c r="T145" s="1235"/>
      <c r="U145" s="1235"/>
      <c r="V145" s="1235"/>
      <c r="W145" s="1235"/>
      <c r="X145" s="1235"/>
      <c r="Y145" s="1235"/>
      <c r="Z145" s="1235"/>
      <c r="AA145" s="1235"/>
      <c r="AB145" s="1235"/>
      <c r="AC145" s="1235"/>
      <c r="AD145" s="1235"/>
      <c r="AE145" s="1235"/>
      <c r="AF145" s="1235"/>
      <c r="AG145" s="1235"/>
      <c r="AH145" s="1235"/>
      <c r="AI145" s="1235"/>
      <c r="AJ145" s="1235"/>
    </row>
    <row r="146" spans="1:36" s="1232" customFormat="1" ht="15" customHeight="1">
      <c r="A146" s="1286" t="s">
        <v>817</v>
      </c>
      <c r="B146" s="1230">
        <v>216983737.72</v>
      </c>
      <c r="C146" s="1262">
        <v>2.196E-2</v>
      </c>
      <c r="D146" s="1247">
        <v>5452</v>
      </c>
      <c r="E146" s="1262">
        <v>5.7169999999999999E-2</v>
      </c>
      <c r="F146" s="1172"/>
      <c r="G146" s="1244" t="s">
        <v>812</v>
      </c>
      <c r="H146" s="1274">
        <v>434852518.86000001</v>
      </c>
      <c r="I146" s="1275">
        <v>4.4010000000000001E-2</v>
      </c>
      <c r="J146" s="1276">
        <v>13440</v>
      </c>
      <c r="K146" s="1275">
        <v>0.14093</v>
      </c>
      <c r="M146" s="1235"/>
      <c r="N146" s="1235"/>
      <c r="O146" s="1235"/>
      <c r="P146" s="1235"/>
      <c r="Q146" s="1235"/>
      <c r="R146" s="1235"/>
      <c r="S146" s="1235"/>
      <c r="T146" s="1235"/>
      <c r="U146" s="1235"/>
      <c r="V146" s="1235"/>
      <c r="W146" s="1235"/>
      <c r="X146" s="1235"/>
      <c r="Y146" s="1235"/>
      <c r="Z146" s="1235"/>
      <c r="AA146" s="1235"/>
      <c r="AB146" s="1235"/>
      <c r="AC146" s="1235"/>
      <c r="AD146" s="1235"/>
      <c r="AE146" s="1235"/>
      <c r="AF146" s="1235"/>
      <c r="AG146" s="1235"/>
      <c r="AH146" s="1235"/>
      <c r="AI146" s="1235"/>
      <c r="AJ146" s="1235"/>
    </row>
    <row r="147" spans="1:36" s="1232" customFormat="1" ht="15" customHeight="1">
      <c r="A147" s="1286" t="s">
        <v>884</v>
      </c>
      <c r="B147" s="1230">
        <v>529123261.08999997</v>
      </c>
      <c r="C147" s="1262">
        <v>5.355E-2</v>
      </c>
      <c r="D147" s="1247">
        <v>9862</v>
      </c>
      <c r="E147" s="1262">
        <v>0.10341</v>
      </c>
      <c r="F147" s="1235"/>
      <c r="G147" s="1244" t="s">
        <v>884</v>
      </c>
      <c r="H147" s="1274">
        <v>694173429.08000004</v>
      </c>
      <c r="I147" s="1275">
        <v>7.0260000000000003E-2</v>
      </c>
      <c r="J147" s="1276">
        <v>10990</v>
      </c>
      <c r="K147" s="1275">
        <v>0.11524</v>
      </c>
      <c r="M147" s="1235"/>
      <c r="N147" s="1235"/>
      <c r="O147" s="1235"/>
      <c r="P147" s="1235"/>
      <c r="Q147" s="1235"/>
      <c r="R147" s="1235"/>
      <c r="S147" s="1235"/>
      <c r="T147" s="1235"/>
      <c r="U147" s="1235"/>
      <c r="V147" s="1235"/>
      <c r="W147" s="1235"/>
      <c r="X147" s="1235"/>
      <c r="Y147" s="1235"/>
      <c r="Z147" s="1235"/>
      <c r="AA147" s="1235"/>
      <c r="AB147" s="1235"/>
      <c r="AC147" s="1235"/>
      <c r="AD147" s="1235"/>
      <c r="AE147" s="1235"/>
      <c r="AF147" s="1235"/>
      <c r="AG147" s="1235"/>
      <c r="AH147" s="1235"/>
      <c r="AI147" s="1235"/>
      <c r="AJ147" s="1235"/>
    </row>
    <row r="148" spans="1:36" s="1232" customFormat="1" ht="15" customHeight="1">
      <c r="A148" s="1286" t="s">
        <v>885</v>
      </c>
      <c r="B148" s="1230">
        <v>961639709.16999996</v>
      </c>
      <c r="C148" s="1262">
        <v>9.733E-2</v>
      </c>
      <c r="D148" s="1247">
        <v>13722</v>
      </c>
      <c r="E148" s="1262">
        <v>0.14388999999999999</v>
      </c>
      <c r="G148" s="1244" t="s">
        <v>885</v>
      </c>
      <c r="H148" s="1274">
        <v>1039555778.96</v>
      </c>
      <c r="I148" s="1275">
        <v>0.10521</v>
      </c>
      <c r="J148" s="1276">
        <v>12547</v>
      </c>
      <c r="K148" s="1275">
        <v>0.13156999999999999</v>
      </c>
      <c r="M148" s="1235"/>
      <c r="N148" s="1235"/>
      <c r="O148" s="1235"/>
      <c r="P148" s="1235"/>
      <c r="Q148" s="1235"/>
      <c r="R148" s="1235"/>
      <c r="S148" s="1235"/>
      <c r="T148" s="1235"/>
      <c r="U148" s="1235"/>
      <c r="V148" s="1235"/>
      <c r="W148" s="1235"/>
      <c r="X148" s="1235"/>
      <c r="Y148" s="1235"/>
      <c r="Z148" s="1235"/>
      <c r="AA148" s="1235"/>
      <c r="AB148" s="1235"/>
      <c r="AC148" s="1235"/>
      <c r="AD148" s="1235"/>
      <c r="AE148" s="1235"/>
      <c r="AF148" s="1235"/>
      <c r="AG148" s="1235"/>
      <c r="AH148" s="1235"/>
      <c r="AI148" s="1235"/>
      <c r="AJ148" s="1235"/>
    </row>
    <row r="149" spans="1:36" s="1232" customFormat="1" ht="15" customHeight="1">
      <c r="A149" s="1286" t="s">
        <v>886</v>
      </c>
      <c r="B149" s="1230">
        <v>1355371254.1300001</v>
      </c>
      <c r="C149" s="1262">
        <v>0.13718</v>
      </c>
      <c r="D149" s="1247">
        <v>15202</v>
      </c>
      <c r="E149" s="1262">
        <v>0.15941</v>
      </c>
      <c r="F149" s="1269"/>
      <c r="G149" s="1244" t="s">
        <v>886</v>
      </c>
      <c r="H149" s="1274">
        <v>1327264348.02</v>
      </c>
      <c r="I149" s="1275">
        <v>0.13433</v>
      </c>
      <c r="J149" s="1276">
        <v>13146</v>
      </c>
      <c r="K149" s="1275">
        <v>0.13785</v>
      </c>
      <c r="M149" s="1235"/>
      <c r="N149" s="1235"/>
      <c r="O149" s="1235"/>
      <c r="P149" s="1235"/>
      <c r="Q149" s="1235"/>
      <c r="R149" s="1235"/>
      <c r="S149" s="1235"/>
      <c r="T149" s="1235"/>
      <c r="U149" s="1235"/>
      <c r="V149" s="1235"/>
      <c r="W149" s="1235"/>
      <c r="X149" s="1235"/>
      <c r="Y149" s="1235"/>
      <c r="Z149" s="1235"/>
      <c r="AA149" s="1235"/>
      <c r="AB149" s="1235"/>
      <c r="AC149" s="1235"/>
      <c r="AD149" s="1235"/>
      <c r="AE149" s="1235"/>
      <c r="AF149" s="1235"/>
      <c r="AG149" s="1235"/>
      <c r="AH149" s="1235"/>
      <c r="AI149" s="1235"/>
      <c r="AJ149" s="1235"/>
    </row>
    <row r="150" spans="1:36" s="1232" customFormat="1">
      <c r="A150" s="1286" t="s">
        <v>887</v>
      </c>
      <c r="B150" s="1230">
        <v>1880886582.02</v>
      </c>
      <c r="C150" s="1262">
        <v>0.19036</v>
      </c>
      <c r="D150" s="1247">
        <v>16487</v>
      </c>
      <c r="E150" s="1262">
        <v>0.17288000000000001</v>
      </c>
      <c r="F150" s="1234"/>
      <c r="G150" s="1244" t="s">
        <v>887</v>
      </c>
      <c r="H150" s="1274">
        <v>1487138185.8800001</v>
      </c>
      <c r="I150" s="1275">
        <v>0.15051</v>
      </c>
      <c r="J150" s="1276">
        <v>12355</v>
      </c>
      <c r="K150" s="1275">
        <v>0.12956000000000001</v>
      </c>
      <c r="M150" s="1235"/>
      <c r="N150" s="1235"/>
      <c r="O150" s="1235"/>
      <c r="P150" s="1235"/>
      <c r="Q150" s="1235"/>
      <c r="R150" s="1235"/>
      <c r="S150" s="1235"/>
      <c r="T150" s="1235"/>
      <c r="U150" s="1235"/>
      <c r="V150" s="1235"/>
      <c r="W150" s="1235"/>
      <c r="X150" s="1235"/>
      <c r="Y150" s="1235"/>
      <c r="Z150" s="1235"/>
      <c r="AA150" s="1235"/>
      <c r="AB150" s="1235"/>
      <c r="AC150" s="1235"/>
      <c r="AD150" s="1235"/>
      <c r="AE150" s="1235"/>
      <c r="AF150" s="1235"/>
      <c r="AG150" s="1235"/>
      <c r="AH150" s="1235"/>
      <c r="AI150" s="1235"/>
      <c r="AJ150" s="1235"/>
    </row>
    <row r="151" spans="1:36" s="1232" customFormat="1">
      <c r="A151" s="1286" t="s">
        <v>888</v>
      </c>
      <c r="B151" s="1230">
        <v>1816503878.7</v>
      </c>
      <c r="C151" s="1262">
        <v>0.18385000000000001</v>
      </c>
      <c r="D151" s="1247">
        <v>13661</v>
      </c>
      <c r="E151" s="1262">
        <v>0.14324999999999999</v>
      </c>
      <c r="F151" s="1234"/>
      <c r="G151" s="1244" t="s">
        <v>888</v>
      </c>
      <c r="H151" s="1274">
        <v>1632208067.27</v>
      </c>
      <c r="I151" s="1275">
        <v>0.16520000000000001</v>
      </c>
      <c r="J151" s="1276">
        <v>11486</v>
      </c>
      <c r="K151" s="1275">
        <v>0.12044000000000001</v>
      </c>
      <c r="M151" s="1235"/>
      <c r="N151" s="1235"/>
      <c r="O151" s="1235"/>
      <c r="P151" s="1235"/>
      <c r="Q151" s="1235"/>
      <c r="R151" s="1235"/>
      <c r="S151" s="1235"/>
      <c r="T151" s="1235"/>
      <c r="U151" s="1235"/>
      <c r="V151" s="1235"/>
      <c r="W151" s="1235"/>
      <c r="X151" s="1235"/>
      <c r="Y151" s="1235"/>
      <c r="Z151" s="1235"/>
      <c r="AA151" s="1235"/>
      <c r="AB151" s="1235"/>
      <c r="AC151" s="1235"/>
      <c r="AD151" s="1235"/>
      <c r="AE151" s="1235"/>
      <c r="AF151" s="1235"/>
      <c r="AG151" s="1235"/>
      <c r="AH151" s="1235"/>
      <c r="AI151" s="1235"/>
      <c r="AJ151" s="1235"/>
    </row>
    <row r="152" spans="1:36" s="1232" customFormat="1">
      <c r="A152" s="1286" t="s">
        <v>889</v>
      </c>
      <c r="B152" s="1230">
        <v>2215657212.5900002</v>
      </c>
      <c r="C152" s="1262">
        <v>0.22425</v>
      </c>
      <c r="D152" s="1247">
        <v>14675</v>
      </c>
      <c r="E152" s="1262">
        <v>0.15387999999999999</v>
      </c>
      <c r="F152" s="1278"/>
      <c r="G152" s="1244" t="s">
        <v>889</v>
      </c>
      <c r="H152" s="1274">
        <v>1463196693.3800001</v>
      </c>
      <c r="I152" s="1275">
        <v>0.14809</v>
      </c>
      <c r="J152" s="1276">
        <v>9702</v>
      </c>
      <c r="K152" s="1275">
        <v>0.10174</v>
      </c>
      <c r="M152" s="1235"/>
      <c r="N152" s="1235"/>
      <c r="O152" s="1235"/>
      <c r="P152" s="1235"/>
      <c r="Q152" s="1235"/>
      <c r="R152" s="1235"/>
      <c r="S152" s="1235"/>
      <c r="T152" s="1235"/>
      <c r="U152" s="1235"/>
      <c r="V152" s="1235"/>
      <c r="W152" s="1235"/>
      <c r="X152" s="1235"/>
      <c r="Y152" s="1235"/>
      <c r="Z152" s="1235"/>
      <c r="AA152" s="1235"/>
      <c r="AB152" s="1235"/>
      <c r="AC152" s="1235"/>
      <c r="AD152" s="1235"/>
      <c r="AE152" s="1235"/>
      <c r="AF152" s="1235"/>
      <c r="AG152" s="1235"/>
      <c r="AH152" s="1235"/>
      <c r="AI152" s="1235"/>
      <c r="AJ152" s="1235"/>
    </row>
    <row r="153" spans="1:36" s="1232" customFormat="1">
      <c r="A153" s="1286" t="s">
        <v>890</v>
      </c>
      <c r="B153" s="1230">
        <v>865493707.12</v>
      </c>
      <c r="C153" s="1262">
        <v>8.7599999999999997E-2</v>
      </c>
      <c r="D153" s="1247">
        <v>6048</v>
      </c>
      <c r="E153" s="1262">
        <v>6.3420000000000004E-2</v>
      </c>
      <c r="F153" s="1278"/>
      <c r="G153" s="1244" t="s">
        <v>890</v>
      </c>
      <c r="H153" s="1274">
        <v>1030243712.4299999</v>
      </c>
      <c r="I153" s="1275">
        <v>0.10427</v>
      </c>
      <c r="J153" s="1276">
        <v>6595</v>
      </c>
      <c r="K153" s="1275">
        <v>6.9159999999999999E-2</v>
      </c>
      <c r="M153" s="1235"/>
      <c r="N153" s="1235"/>
      <c r="O153" s="1235"/>
      <c r="P153" s="1235"/>
      <c r="Q153" s="1235"/>
      <c r="R153" s="1235"/>
      <c r="S153" s="1235"/>
      <c r="T153" s="1235"/>
      <c r="U153" s="1235"/>
      <c r="V153" s="1235"/>
      <c r="W153" s="1235"/>
      <c r="X153" s="1235"/>
      <c r="Y153" s="1235"/>
      <c r="Z153" s="1235"/>
      <c r="AA153" s="1235"/>
      <c r="AB153" s="1235"/>
      <c r="AC153" s="1235"/>
      <c r="AD153" s="1235"/>
      <c r="AE153" s="1235"/>
      <c r="AF153" s="1235"/>
      <c r="AG153" s="1235"/>
      <c r="AH153" s="1235"/>
      <c r="AI153" s="1235"/>
      <c r="AJ153" s="1235"/>
    </row>
    <row r="154" spans="1:36" s="1232" customFormat="1">
      <c r="A154" s="1286" t="s">
        <v>813</v>
      </c>
      <c r="B154" s="1230">
        <v>38796487.479999997</v>
      </c>
      <c r="C154" s="1262">
        <v>3.9300000000000003E-3</v>
      </c>
      <c r="D154" s="1247">
        <v>255</v>
      </c>
      <c r="E154" s="1262">
        <v>2.6700000000000001E-3</v>
      </c>
      <c r="G154" s="1244" t="s">
        <v>813</v>
      </c>
      <c r="H154" s="1274">
        <v>771823096.13999999</v>
      </c>
      <c r="I154" s="1275">
        <v>7.8119999999999995E-2</v>
      </c>
      <c r="J154" s="1276">
        <v>5103</v>
      </c>
      <c r="K154" s="1275">
        <v>5.3510000000000002E-2</v>
      </c>
      <c r="M154" s="1235"/>
      <c r="N154" s="1235"/>
      <c r="O154" s="1235"/>
      <c r="P154" s="1235"/>
      <c r="Q154" s="1235"/>
      <c r="R154" s="1235"/>
      <c r="S154" s="1235"/>
      <c r="T154" s="1235"/>
      <c r="U154" s="1235"/>
      <c r="V154" s="1235"/>
      <c r="W154" s="1235"/>
      <c r="X154" s="1235"/>
      <c r="Y154" s="1235"/>
      <c r="Z154" s="1235"/>
      <c r="AA154" s="1235"/>
      <c r="AB154" s="1235"/>
      <c r="AC154" s="1235"/>
      <c r="AD154" s="1235"/>
      <c r="AE154" s="1235"/>
      <c r="AF154" s="1235"/>
      <c r="AG154" s="1235"/>
      <c r="AH154" s="1235"/>
      <c r="AI154" s="1235"/>
      <c r="AJ154" s="1235"/>
    </row>
    <row r="155" spans="1:36" s="1232" customFormat="1" ht="13.5" thickBot="1">
      <c r="A155" s="1252" t="s">
        <v>814</v>
      </c>
      <c r="B155" s="1253">
        <v>9880455830.0200005</v>
      </c>
      <c r="C155" s="1250">
        <v>1.0000100000000001</v>
      </c>
      <c r="D155" s="1251">
        <v>95364</v>
      </c>
      <c r="E155" s="1250">
        <v>0.99997999999999998</v>
      </c>
      <c r="G155" s="1252" t="s">
        <v>814</v>
      </c>
      <c r="H155" s="1253">
        <v>9880455830.0199986</v>
      </c>
      <c r="I155" s="1250">
        <v>0.99999999999999989</v>
      </c>
      <c r="J155" s="1251">
        <v>95364</v>
      </c>
      <c r="K155" s="1250">
        <v>1</v>
      </c>
      <c r="M155" s="1235"/>
      <c r="N155" s="1235"/>
      <c r="O155" s="1235"/>
      <c r="P155" s="1235"/>
      <c r="Q155" s="1235"/>
      <c r="R155" s="1235"/>
      <c r="S155" s="1235"/>
      <c r="T155" s="1235"/>
      <c r="U155" s="1235"/>
      <c r="V155" s="1235"/>
      <c r="W155" s="1235"/>
      <c r="X155" s="1235"/>
      <c r="Y155" s="1235"/>
      <c r="Z155" s="1235"/>
      <c r="AA155" s="1235"/>
      <c r="AB155" s="1235"/>
      <c r="AC155" s="1235"/>
      <c r="AD155" s="1235"/>
      <c r="AE155" s="1235"/>
      <c r="AF155" s="1235"/>
      <c r="AG155" s="1235"/>
      <c r="AH155" s="1235"/>
      <c r="AI155" s="1235"/>
      <c r="AJ155" s="1235"/>
    </row>
    <row r="156" spans="1:36" s="1232" customFormat="1" ht="12" customHeight="1" thickTop="1">
      <c r="A156" s="1264"/>
      <c r="B156" s="1279"/>
      <c r="C156" s="1255"/>
      <c r="D156" s="1260"/>
      <c r="E156" s="1255"/>
      <c r="M156" s="1235"/>
      <c r="N156" s="1235"/>
      <c r="O156" s="1235"/>
      <c r="P156" s="1235"/>
      <c r="Q156" s="1235"/>
      <c r="R156" s="1235"/>
      <c r="S156" s="1235"/>
      <c r="T156" s="1235"/>
      <c r="U156" s="1235"/>
      <c r="V156" s="1235"/>
      <c r="W156" s="1235"/>
      <c r="X156" s="1235"/>
      <c r="Y156" s="1235"/>
      <c r="Z156" s="1235"/>
      <c r="AA156" s="1235"/>
      <c r="AB156" s="1235"/>
      <c r="AC156" s="1235"/>
      <c r="AD156" s="1235"/>
      <c r="AE156" s="1235"/>
      <c r="AF156" s="1235"/>
      <c r="AG156" s="1235"/>
      <c r="AH156" s="1235"/>
      <c r="AI156" s="1235"/>
      <c r="AJ156" s="1235"/>
    </row>
    <row r="157" spans="1:36" s="1232" customFormat="1">
      <c r="A157" s="1280"/>
      <c r="B157" s="1230"/>
      <c r="C157" s="1246"/>
      <c r="D157" s="1230"/>
      <c r="E157" s="1246"/>
      <c r="M157" s="1235"/>
      <c r="N157" s="1235"/>
      <c r="O157" s="1235"/>
      <c r="P157" s="1235"/>
      <c r="Q157" s="1235"/>
      <c r="R157" s="1235"/>
      <c r="S157" s="1235"/>
      <c r="T157" s="1235"/>
      <c r="U157" s="1235"/>
      <c r="V157" s="1235"/>
      <c r="W157" s="1235"/>
      <c r="X157" s="1235"/>
      <c r="Y157" s="1235"/>
      <c r="Z157" s="1235"/>
      <c r="AA157" s="1235"/>
      <c r="AB157" s="1235"/>
      <c r="AC157" s="1235"/>
      <c r="AD157" s="1235"/>
      <c r="AE157" s="1235"/>
      <c r="AF157" s="1235"/>
      <c r="AG157" s="1235"/>
      <c r="AH157" s="1235"/>
      <c r="AI157" s="1235"/>
      <c r="AJ157" s="1235"/>
    </row>
    <row r="158" spans="1:36" s="1232" customFormat="1">
      <c r="A158" s="1291"/>
      <c r="B158" s="1254"/>
      <c r="C158" s="1255"/>
      <c r="D158" s="1256"/>
      <c r="E158" s="1255"/>
      <c r="M158" s="1235"/>
      <c r="N158" s="1235"/>
      <c r="O158" s="1235"/>
      <c r="P158" s="1235"/>
      <c r="Q158" s="1235"/>
      <c r="R158" s="1235"/>
      <c r="S158" s="1235"/>
      <c r="T158" s="1235"/>
      <c r="U158" s="1235"/>
      <c r="V158" s="1235"/>
      <c r="W158" s="1235"/>
      <c r="X158" s="1235"/>
      <c r="Y158" s="1235"/>
      <c r="Z158" s="1235"/>
      <c r="AA158" s="1235"/>
      <c r="AB158" s="1235"/>
      <c r="AC158" s="1235"/>
      <c r="AD158" s="1235"/>
      <c r="AE158" s="1235"/>
      <c r="AF158" s="1235"/>
      <c r="AG158" s="1235"/>
      <c r="AH158" s="1235"/>
      <c r="AI158" s="1235"/>
      <c r="AJ158" s="1235"/>
    </row>
    <row r="159" spans="1:36" s="1232" customFormat="1" ht="15.75">
      <c r="A159" s="1237" t="s">
        <v>930</v>
      </c>
      <c r="B159" s="1254"/>
      <c r="C159" s="1255"/>
      <c r="D159" s="1256"/>
      <c r="E159" s="1255"/>
      <c r="G159" s="1237" t="s">
        <v>598</v>
      </c>
      <c r="J159" s="1233"/>
      <c r="M159" s="1235"/>
      <c r="N159" s="1235"/>
      <c r="O159" s="1235"/>
      <c r="P159" s="1235"/>
      <c r="Q159" s="1235"/>
      <c r="R159" s="1235"/>
      <c r="S159" s="1235"/>
      <c r="T159" s="1235"/>
      <c r="U159" s="1235"/>
      <c r="V159" s="1235"/>
      <c r="W159" s="1235"/>
      <c r="X159" s="1235"/>
      <c r="Y159" s="1235"/>
      <c r="Z159" s="1235"/>
      <c r="AA159" s="1235"/>
      <c r="AB159" s="1235"/>
      <c r="AC159" s="1235"/>
      <c r="AD159" s="1235"/>
      <c r="AE159" s="1235"/>
      <c r="AF159" s="1235"/>
      <c r="AG159" s="1235"/>
      <c r="AH159" s="1235"/>
      <c r="AI159" s="1235"/>
      <c r="AJ159" s="1235"/>
    </row>
    <row r="160" spans="1:36" s="1271" customFormat="1" ht="25.5">
      <c r="A160" s="1284" t="s">
        <v>637</v>
      </c>
      <c r="B160" s="1240" t="s">
        <v>934</v>
      </c>
      <c r="C160" s="1241" t="s">
        <v>991</v>
      </c>
      <c r="D160" s="1285" t="s">
        <v>992</v>
      </c>
      <c r="E160" s="1241" t="s">
        <v>991</v>
      </c>
      <c r="G160" s="1239" t="s">
        <v>599</v>
      </c>
      <c r="H160" s="1240" t="s">
        <v>934</v>
      </c>
      <c r="I160" s="1241" t="s">
        <v>991</v>
      </c>
      <c r="J160" s="1240" t="s">
        <v>992</v>
      </c>
      <c r="K160" s="1241" t="s">
        <v>991</v>
      </c>
      <c r="M160" s="1272"/>
      <c r="N160" s="1272"/>
      <c r="O160" s="1272"/>
      <c r="P160" s="1272"/>
      <c r="Q160" s="1272"/>
      <c r="R160" s="1272"/>
      <c r="S160" s="1272"/>
      <c r="T160" s="1272"/>
      <c r="U160" s="1272"/>
      <c r="V160" s="1272"/>
      <c r="W160" s="1272"/>
      <c r="X160" s="1272"/>
      <c r="Y160" s="1272"/>
      <c r="Z160" s="1272"/>
      <c r="AA160" s="1272"/>
      <c r="AB160" s="1272"/>
      <c r="AC160" s="1272"/>
      <c r="AD160" s="1272"/>
      <c r="AE160" s="1272"/>
      <c r="AF160" s="1272"/>
      <c r="AG160" s="1272"/>
      <c r="AH160" s="1272"/>
      <c r="AI160" s="1272"/>
      <c r="AJ160" s="1272"/>
    </row>
    <row r="161" spans="1:256" s="1232" customFormat="1">
      <c r="A161" s="1286" t="s">
        <v>150</v>
      </c>
      <c r="B161" s="1230">
        <v>710638601.85000002</v>
      </c>
      <c r="C161" s="1262">
        <v>7.1919999999999998E-2</v>
      </c>
      <c r="D161" s="1247">
        <v>22812</v>
      </c>
      <c r="E161" s="1262">
        <v>0.23921000000000001</v>
      </c>
      <c r="G161" s="1286" t="s">
        <v>150</v>
      </c>
      <c r="H161" s="1274">
        <v>251832881.56999999</v>
      </c>
      <c r="I161" s="1275">
        <v>2.5489999999999999E-2</v>
      </c>
      <c r="J161" s="1276">
        <v>9313</v>
      </c>
      <c r="K161" s="1275">
        <v>9.7659999999999997E-2</v>
      </c>
      <c r="M161" s="1235"/>
      <c r="N161" s="1235"/>
      <c r="O161" s="1235"/>
      <c r="P161" s="1235"/>
      <c r="Q161" s="1235"/>
      <c r="R161" s="1235"/>
      <c r="S161" s="1235"/>
      <c r="T161" s="1235"/>
      <c r="U161" s="1235"/>
      <c r="V161" s="1235"/>
      <c r="W161" s="1235"/>
      <c r="X161" s="1235"/>
      <c r="Y161" s="1235"/>
      <c r="Z161" s="1235"/>
      <c r="AA161" s="1235"/>
      <c r="AB161" s="1235"/>
      <c r="AC161" s="1235"/>
      <c r="AD161" s="1235"/>
      <c r="AE161" s="1235"/>
      <c r="AF161" s="1235"/>
      <c r="AG161" s="1235"/>
      <c r="AH161" s="1235"/>
      <c r="AI161" s="1235"/>
      <c r="AJ161" s="1235"/>
    </row>
    <row r="162" spans="1:256" s="1232" customFormat="1">
      <c r="A162" s="1286" t="s">
        <v>969</v>
      </c>
      <c r="B162" s="1230">
        <v>2576699512.23</v>
      </c>
      <c r="C162" s="1262">
        <v>0.26079000000000002</v>
      </c>
      <c r="D162" s="1247">
        <v>34921</v>
      </c>
      <c r="E162" s="1262">
        <v>0.36619000000000002</v>
      </c>
      <c r="G162" s="1286" t="s">
        <v>969</v>
      </c>
      <c r="H162" s="1274">
        <v>2129141688.45</v>
      </c>
      <c r="I162" s="1275">
        <v>0.21548999999999999</v>
      </c>
      <c r="J162" s="1276">
        <v>36326</v>
      </c>
      <c r="K162" s="1275">
        <v>0.38091999999999998</v>
      </c>
      <c r="M162" s="1235"/>
      <c r="N162" s="1235"/>
      <c r="O162" s="1235"/>
      <c r="P162" s="1235"/>
      <c r="Q162" s="1235"/>
      <c r="R162" s="1235"/>
      <c r="S162" s="1235"/>
      <c r="T162" s="1235"/>
      <c r="U162" s="1235"/>
      <c r="V162" s="1235"/>
      <c r="W162" s="1235"/>
      <c r="X162" s="1235"/>
      <c r="Y162" s="1235"/>
      <c r="Z162" s="1235"/>
      <c r="AA162" s="1235"/>
      <c r="AB162" s="1235"/>
      <c r="AC162" s="1235"/>
      <c r="AD162" s="1235"/>
      <c r="AE162" s="1235"/>
      <c r="AF162" s="1235"/>
      <c r="AG162" s="1235"/>
      <c r="AH162" s="1235"/>
      <c r="AI162" s="1235"/>
      <c r="AJ162" s="1235"/>
    </row>
    <row r="163" spans="1:256" s="1232" customFormat="1">
      <c r="A163" s="1286" t="s">
        <v>96</v>
      </c>
      <c r="B163" s="1230">
        <v>2456567808.8299999</v>
      </c>
      <c r="C163" s="1262">
        <v>0.24862999999999999</v>
      </c>
      <c r="D163" s="1247">
        <v>20095</v>
      </c>
      <c r="E163" s="1262">
        <v>0.21071999999999999</v>
      </c>
      <c r="G163" s="1286" t="s">
        <v>96</v>
      </c>
      <c r="H163" s="1274">
        <v>2601239343.0700002</v>
      </c>
      <c r="I163" s="1275">
        <v>0.26327</v>
      </c>
      <c r="J163" s="1276">
        <v>25500</v>
      </c>
      <c r="K163" s="1275">
        <v>0.26740000000000003</v>
      </c>
      <c r="M163" s="1235"/>
      <c r="N163" s="1235"/>
      <c r="O163" s="1235"/>
      <c r="P163" s="1235"/>
      <c r="Q163" s="1235"/>
      <c r="R163" s="1235"/>
      <c r="S163" s="1235"/>
      <c r="T163" s="1235"/>
      <c r="U163" s="1235"/>
      <c r="V163" s="1235"/>
      <c r="W163" s="1235"/>
      <c r="X163" s="1235"/>
      <c r="Y163" s="1235"/>
      <c r="Z163" s="1235"/>
      <c r="AA163" s="1235"/>
      <c r="AB163" s="1235"/>
      <c r="AC163" s="1235"/>
      <c r="AD163" s="1235"/>
      <c r="AE163" s="1235"/>
      <c r="AF163" s="1235"/>
      <c r="AG163" s="1235"/>
      <c r="AH163" s="1235"/>
      <c r="AI163" s="1235"/>
      <c r="AJ163" s="1235"/>
    </row>
    <row r="164" spans="1:256" s="1232" customFormat="1">
      <c r="A164" s="1286" t="s">
        <v>586</v>
      </c>
      <c r="B164" s="1230">
        <v>1520950840.5899999</v>
      </c>
      <c r="C164" s="1262">
        <v>0.15393999999999999</v>
      </c>
      <c r="D164" s="1247">
        <v>8876</v>
      </c>
      <c r="E164" s="1262">
        <v>9.307E-2</v>
      </c>
      <c r="G164" s="1286" t="s">
        <v>586</v>
      </c>
      <c r="H164" s="1274">
        <v>1775650175.95</v>
      </c>
      <c r="I164" s="1275">
        <v>0.17971000000000001</v>
      </c>
      <c r="J164" s="1276">
        <v>12167</v>
      </c>
      <c r="K164" s="1275">
        <v>0.12758</v>
      </c>
      <c r="M164" s="1235"/>
      <c r="N164" s="1235"/>
      <c r="O164" s="1235"/>
      <c r="P164" s="1235"/>
      <c r="Q164" s="1235"/>
      <c r="R164" s="1235"/>
      <c r="S164" s="1235"/>
      <c r="T164" s="1235"/>
      <c r="U164" s="1235"/>
      <c r="V164" s="1235"/>
      <c r="W164" s="1235"/>
      <c r="X164" s="1235"/>
      <c r="Y164" s="1235"/>
      <c r="Z164" s="1235"/>
      <c r="AA164" s="1235"/>
      <c r="AB164" s="1235"/>
      <c r="AC164" s="1235"/>
      <c r="AD164" s="1235"/>
      <c r="AE164" s="1235"/>
      <c r="AF164" s="1235"/>
      <c r="AG164" s="1235"/>
      <c r="AH164" s="1235"/>
      <c r="AI164" s="1235"/>
      <c r="AJ164" s="1235"/>
    </row>
    <row r="165" spans="1:256" s="1232" customFormat="1">
      <c r="A165" s="1286" t="s">
        <v>587</v>
      </c>
      <c r="B165" s="1230">
        <v>844697221.07000005</v>
      </c>
      <c r="C165" s="1262">
        <v>8.5489999999999997E-2</v>
      </c>
      <c r="D165" s="1247">
        <v>3798</v>
      </c>
      <c r="E165" s="1262">
        <v>3.9829999999999997E-2</v>
      </c>
      <c r="G165" s="1286" t="s">
        <v>587</v>
      </c>
      <c r="H165" s="1274">
        <v>1028922981.62</v>
      </c>
      <c r="I165" s="1275">
        <v>0.10414</v>
      </c>
      <c r="J165" s="1276">
        <v>5411</v>
      </c>
      <c r="K165" s="1275">
        <v>5.6739999999999999E-2</v>
      </c>
      <c r="M165" s="1235"/>
      <c r="N165" s="1235"/>
      <c r="O165" s="1235"/>
      <c r="P165" s="1235"/>
      <c r="Q165" s="1235"/>
      <c r="R165" s="1235"/>
      <c r="S165" s="1235"/>
      <c r="T165" s="1235"/>
      <c r="U165" s="1235"/>
      <c r="V165" s="1235"/>
      <c r="W165" s="1235"/>
      <c r="X165" s="1235"/>
      <c r="Y165" s="1235"/>
      <c r="Z165" s="1235"/>
      <c r="AA165" s="1235"/>
      <c r="AB165" s="1235"/>
      <c r="AC165" s="1235"/>
      <c r="AD165" s="1235"/>
      <c r="AE165" s="1235"/>
      <c r="AF165" s="1235"/>
      <c r="AG165" s="1235"/>
      <c r="AH165" s="1235"/>
      <c r="AI165" s="1235"/>
      <c r="AJ165" s="1235"/>
    </row>
    <row r="166" spans="1:256" s="1232" customFormat="1">
      <c r="A166" s="1286" t="s">
        <v>588</v>
      </c>
      <c r="B166" s="1230">
        <v>508360804.75</v>
      </c>
      <c r="C166" s="1262">
        <v>5.1450000000000003E-2</v>
      </c>
      <c r="D166" s="1247">
        <v>1861</v>
      </c>
      <c r="E166" s="1262">
        <v>1.951E-2</v>
      </c>
      <c r="F166" s="1234"/>
      <c r="G166" s="1286" t="s">
        <v>588</v>
      </c>
      <c r="H166" s="1274">
        <v>616459074.86000001</v>
      </c>
      <c r="I166" s="1275">
        <v>6.2390000000000001E-2</v>
      </c>
      <c r="J166" s="1276">
        <v>2623</v>
      </c>
      <c r="K166" s="1275">
        <v>2.751E-2</v>
      </c>
      <c r="M166" s="1235"/>
      <c r="N166" s="1235"/>
      <c r="O166" s="1235"/>
      <c r="P166" s="1235"/>
      <c r="Q166" s="1235"/>
      <c r="R166" s="1235"/>
      <c r="S166" s="1235"/>
      <c r="T166" s="1235"/>
      <c r="U166" s="1235"/>
      <c r="V166" s="1235"/>
      <c r="W166" s="1235"/>
      <c r="X166" s="1235"/>
      <c r="Y166" s="1235"/>
      <c r="Z166" s="1235"/>
      <c r="AA166" s="1235"/>
      <c r="AB166" s="1235"/>
      <c r="AC166" s="1235"/>
      <c r="AD166" s="1235"/>
      <c r="AE166" s="1235"/>
      <c r="AF166" s="1235"/>
      <c r="AG166" s="1235"/>
      <c r="AH166" s="1235"/>
      <c r="AI166" s="1235"/>
      <c r="AJ166" s="1235"/>
    </row>
    <row r="167" spans="1:256" s="1232" customFormat="1">
      <c r="A167" s="1286" t="s">
        <v>589</v>
      </c>
      <c r="B167" s="1230">
        <v>350461707.88999999</v>
      </c>
      <c r="C167" s="1262">
        <v>3.5470000000000002E-2</v>
      </c>
      <c r="D167" s="1247">
        <v>1087</v>
      </c>
      <c r="E167" s="1262">
        <v>1.14E-2</v>
      </c>
      <c r="F167" s="1234"/>
      <c r="G167" s="1286" t="s">
        <v>589</v>
      </c>
      <c r="H167" s="1274">
        <v>405206389.12</v>
      </c>
      <c r="I167" s="1275">
        <v>4.1009999999999998E-2</v>
      </c>
      <c r="J167" s="1276">
        <v>1447</v>
      </c>
      <c r="K167" s="1275">
        <v>1.5169999999999999E-2</v>
      </c>
      <c r="M167" s="1235"/>
      <c r="N167" s="1235"/>
      <c r="O167" s="1235"/>
      <c r="P167" s="1235"/>
      <c r="Q167" s="1235"/>
      <c r="R167" s="1235"/>
      <c r="S167" s="1235"/>
      <c r="T167" s="1235"/>
      <c r="U167" s="1235"/>
      <c r="V167" s="1235"/>
      <c r="W167" s="1235"/>
      <c r="X167" s="1235"/>
      <c r="Y167" s="1235"/>
      <c r="Z167" s="1235"/>
      <c r="AA167" s="1235"/>
      <c r="AB167" s="1235"/>
      <c r="AC167" s="1235"/>
      <c r="AD167" s="1235"/>
      <c r="AE167" s="1235"/>
      <c r="AF167" s="1235"/>
      <c r="AG167" s="1235"/>
      <c r="AH167" s="1235"/>
      <c r="AI167" s="1235"/>
      <c r="AJ167" s="1235"/>
    </row>
    <row r="168" spans="1:256" s="1232" customFormat="1">
      <c r="A168" s="1286" t="s">
        <v>590</v>
      </c>
      <c r="B168" s="1230">
        <v>235425660.03</v>
      </c>
      <c r="C168" s="1262">
        <v>2.383E-2</v>
      </c>
      <c r="D168" s="1247">
        <v>632</v>
      </c>
      <c r="E168" s="1262">
        <v>6.6299999999999996E-3</v>
      </c>
      <c r="F168" s="1234"/>
      <c r="G168" s="1286" t="s">
        <v>590</v>
      </c>
      <c r="H168" s="1274">
        <v>279923340.87</v>
      </c>
      <c r="I168" s="1275">
        <v>2.8330000000000001E-2</v>
      </c>
      <c r="J168" s="1276">
        <v>869</v>
      </c>
      <c r="K168" s="1275">
        <v>9.11E-3</v>
      </c>
      <c r="M168" s="1235"/>
      <c r="N168" s="1235"/>
      <c r="O168" s="1235"/>
      <c r="P168" s="1235"/>
      <c r="Q168" s="1235"/>
      <c r="R168" s="1235"/>
      <c r="S168" s="1235"/>
      <c r="T168" s="1235"/>
      <c r="U168" s="1235"/>
      <c r="V168" s="1235"/>
      <c r="W168" s="1235"/>
      <c r="X168" s="1235"/>
      <c r="Y168" s="1235"/>
      <c r="Z168" s="1235"/>
      <c r="AA168" s="1235"/>
      <c r="AB168" s="1235"/>
      <c r="AC168" s="1235"/>
      <c r="AD168" s="1235"/>
      <c r="AE168" s="1235"/>
      <c r="AF168" s="1235"/>
      <c r="AG168" s="1235"/>
      <c r="AH168" s="1235"/>
      <c r="AI168" s="1235"/>
      <c r="AJ168" s="1235"/>
    </row>
    <row r="169" spans="1:256" s="1232" customFormat="1">
      <c r="A169" s="1286" t="s">
        <v>591</v>
      </c>
      <c r="B169" s="1230">
        <v>178679780.40000001</v>
      </c>
      <c r="C169" s="1262">
        <v>1.8079999999999999E-2</v>
      </c>
      <c r="D169" s="1247">
        <v>422</v>
      </c>
      <c r="E169" s="1262">
        <v>4.4299999999999999E-3</v>
      </c>
      <c r="F169" s="1234"/>
      <c r="G169" s="1286" t="s">
        <v>591</v>
      </c>
      <c r="H169" s="1274">
        <v>204361069.09</v>
      </c>
      <c r="I169" s="1275">
        <v>2.068E-2</v>
      </c>
      <c r="J169" s="1276">
        <v>554</v>
      </c>
      <c r="K169" s="1275">
        <v>5.8100000000000001E-3</v>
      </c>
      <c r="M169" s="1235"/>
      <c r="N169" s="1235"/>
      <c r="O169" s="1235"/>
      <c r="P169" s="1235"/>
      <c r="Q169" s="1235"/>
      <c r="R169" s="1235"/>
      <c r="S169" s="1235"/>
      <c r="T169" s="1235"/>
      <c r="U169" s="1235"/>
      <c r="V169" s="1235"/>
      <c r="W169" s="1235"/>
      <c r="X169" s="1235"/>
      <c r="Y169" s="1235"/>
      <c r="Z169" s="1235"/>
      <c r="AA169" s="1235"/>
      <c r="AB169" s="1235"/>
      <c r="AC169" s="1235"/>
      <c r="AD169" s="1235"/>
      <c r="AE169" s="1235"/>
      <c r="AF169" s="1235"/>
      <c r="AG169" s="1235"/>
      <c r="AH169" s="1235"/>
      <c r="AI169" s="1235"/>
      <c r="AJ169" s="1235"/>
    </row>
    <row r="170" spans="1:256" s="1232" customFormat="1">
      <c r="A170" s="1286" t="s">
        <v>592</v>
      </c>
      <c r="B170" s="1230">
        <v>153733688.05000001</v>
      </c>
      <c r="C170" s="1262">
        <v>1.5559999999999999E-2</v>
      </c>
      <c r="D170" s="1247">
        <v>323</v>
      </c>
      <c r="E170" s="1262">
        <v>3.3899999999999998E-3</v>
      </c>
      <c r="F170" s="1234"/>
      <c r="G170" s="1286" t="s">
        <v>592</v>
      </c>
      <c r="H170" s="1274">
        <v>185015283.75</v>
      </c>
      <c r="I170" s="1275">
        <v>1.873E-2</v>
      </c>
      <c r="J170" s="1276">
        <v>438</v>
      </c>
      <c r="K170" s="1275">
        <v>4.5900000000000003E-3</v>
      </c>
      <c r="M170" s="1292"/>
      <c r="N170" s="1292"/>
      <c r="O170" s="1292"/>
      <c r="P170" s="1292"/>
      <c r="Q170" s="1292"/>
      <c r="R170" s="1292"/>
      <c r="S170" s="1292"/>
      <c r="T170" s="1292"/>
      <c r="U170" s="1292"/>
      <c r="V170" s="1292"/>
      <c r="W170" s="1292"/>
      <c r="X170" s="1292"/>
      <c r="Y170" s="1292"/>
      <c r="Z170" s="1292"/>
      <c r="AA170" s="1292"/>
      <c r="AB170" s="1292"/>
      <c r="AC170" s="1292"/>
      <c r="AD170" s="1292"/>
      <c r="AE170" s="1292"/>
      <c r="AF170" s="1292"/>
      <c r="AG170" s="1292"/>
      <c r="AH170" s="1292"/>
      <c r="AI170" s="1292"/>
      <c r="AJ170" s="1292"/>
      <c r="AK170" s="1293"/>
      <c r="AL170" s="1293"/>
      <c r="AM170" s="1293"/>
      <c r="AN170" s="1293"/>
      <c r="AO170" s="1293"/>
      <c r="AP170" s="1293"/>
      <c r="AQ170" s="1293"/>
      <c r="AR170" s="1293"/>
      <c r="AS170" s="1293"/>
      <c r="AT170" s="1293"/>
      <c r="AU170" s="1293"/>
      <c r="AV170" s="1293"/>
      <c r="AW170" s="1293"/>
      <c r="AX170" s="1293"/>
      <c r="AY170" s="1293"/>
      <c r="AZ170" s="1293"/>
      <c r="BA170" s="1293"/>
      <c r="BB170" s="1293"/>
      <c r="BC170" s="1293"/>
      <c r="BD170" s="1293"/>
      <c r="BE170" s="1293"/>
      <c r="BF170" s="1293"/>
      <c r="BG170" s="1293"/>
      <c r="BH170" s="1293"/>
      <c r="BI170" s="1293"/>
      <c r="BJ170" s="1293"/>
      <c r="BK170" s="1293"/>
      <c r="BL170" s="1293"/>
      <c r="BM170" s="1293"/>
      <c r="BN170" s="1293"/>
      <c r="BO170" s="1293"/>
      <c r="BP170" s="1293"/>
      <c r="BQ170" s="1293"/>
      <c r="BR170" s="1293"/>
      <c r="BS170" s="1293"/>
      <c r="BT170" s="1293"/>
      <c r="BU170" s="1293"/>
      <c r="BV170" s="1293"/>
      <c r="BW170" s="1293"/>
      <c r="BX170" s="1293"/>
      <c r="BY170" s="1293"/>
      <c r="BZ170" s="1293"/>
      <c r="CA170" s="1293"/>
      <c r="CB170" s="1293"/>
      <c r="CC170" s="1293"/>
      <c r="CD170" s="1293"/>
      <c r="CE170" s="1293"/>
      <c r="CF170" s="1293"/>
      <c r="CG170" s="1293"/>
      <c r="CH170" s="1293"/>
      <c r="CI170" s="1293"/>
      <c r="CJ170" s="1293"/>
      <c r="CK170" s="1293"/>
      <c r="CL170" s="1293"/>
      <c r="CM170" s="1293"/>
      <c r="CN170" s="1293"/>
      <c r="CO170" s="1293"/>
      <c r="CP170" s="1293"/>
      <c r="CQ170" s="1293"/>
      <c r="CR170" s="1293"/>
      <c r="CS170" s="1293"/>
      <c r="CT170" s="1293"/>
      <c r="CU170" s="1293"/>
      <c r="CV170" s="1293"/>
      <c r="CW170" s="1293"/>
      <c r="CX170" s="1293"/>
      <c r="CY170" s="1293"/>
      <c r="CZ170" s="1293"/>
      <c r="DA170" s="1293"/>
      <c r="DB170" s="1293"/>
      <c r="DC170" s="1293"/>
      <c r="DD170" s="1293"/>
      <c r="DE170" s="1293"/>
      <c r="DF170" s="1293"/>
      <c r="DG170" s="1293"/>
      <c r="DH170" s="1293"/>
      <c r="DI170" s="1293"/>
      <c r="DJ170" s="1293"/>
      <c r="DK170" s="1293"/>
      <c r="DL170" s="1293"/>
      <c r="DM170" s="1293"/>
      <c r="DN170" s="1293"/>
      <c r="DO170" s="1293"/>
      <c r="DP170" s="1293"/>
      <c r="DQ170" s="1293"/>
      <c r="DR170" s="1293"/>
      <c r="DS170" s="1293"/>
      <c r="DT170" s="1293"/>
      <c r="DU170" s="1293"/>
      <c r="DV170" s="1293"/>
      <c r="DW170" s="1293"/>
      <c r="DX170" s="1293"/>
      <c r="DY170" s="1293"/>
      <c r="DZ170" s="1293"/>
      <c r="EA170" s="1293"/>
      <c r="EB170" s="1293"/>
      <c r="EC170" s="1293"/>
      <c r="ED170" s="1293"/>
      <c r="EE170" s="1293"/>
      <c r="EF170" s="1293"/>
      <c r="EG170" s="1293"/>
      <c r="EH170" s="1293"/>
      <c r="EI170" s="1293"/>
      <c r="EJ170" s="1293"/>
      <c r="EK170" s="1293"/>
      <c r="EL170" s="1293"/>
      <c r="EM170" s="1293"/>
      <c r="EN170" s="1293"/>
      <c r="EO170" s="1293"/>
      <c r="EP170" s="1293"/>
      <c r="EQ170" s="1293"/>
      <c r="ER170" s="1293"/>
      <c r="ES170" s="1293"/>
      <c r="ET170" s="1293"/>
      <c r="EU170" s="1293"/>
      <c r="EV170" s="1293"/>
      <c r="EW170" s="1293"/>
      <c r="EX170" s="1293"/>
      <c r="EY170" s="1293"/>
      <c r="EZ170" s="1293"/>
      <c r="FA170" s="1293"/>
      <c r="FB170" s="1293"/>
      <c r="FC170" s="1293"/>
      <c r="FD170" s="1293"/>
      <c r="FE170" s="1293"/>
      <c r="FF170" s="1293"/>
      <c r="FG170" s="1293"/>
      <c r="FH170" s="1293"/>
      <c r="FI170" s="1293"/>
      <c r="FJ170" s="1293"/>
      <c r="FK170" s="1293"/>
      <c r="FL170" s="1293"/>
      <c r="FM170" s="1293"/>
      <c r="FN170" s="1293"/>
      <c r="FO170" s="1293"/>
      <c r="FP170" s="1293"/>
      <c r="FQ170" s="1293"/>
      <c r="FR170" s="1293"/>
      <c r="FS170" s="1293"/>
      <c r="FT170" s="1293"/>
      <c r="FU170" s="1293"/>
      <c r="FV170" s="1293"/>
      <c r="FW170" s="1293"/>
      <c r="FX170" s="1293"/>
      <c r="FY170" s="1293"/>
      <c r="FZ170" s="1293"/>
      <c r="GA170" s="1293"/>
      <c r="GB170" s="1293"/>
      <c r="GC170" s="1293"/>
      <c r="GD170" s="1293"/>
      <c r="GE170" s="1293"/>
      <c r="GF170" s="1293"/>
      <c r="GG170" s="1293"/>
      <c r="GH170" s="1293"/>
      <c r="GI170" s="1293"/>
      <c r="GJ170" s="1293"/>
      <c r="GK170" s="1293"/>
      <c r="GL170" s="1293"/>
      <c r="GM170" s="1293"/>
      <c r="GN170" s="1293"/>
      <c r="GO170" s="1293"/>
      <c r="GP170" s="1293"/>
      <c r="GQ170" s="1293"/>
      <c r="GR170" s="1293"/>
      <c r="GS170" s="1293"/>
      <c r="GT170" s="1293"/>
      <c r="GU170" s="1293"/>
      <c r="GV170" s="1293"/>
      <c r="GW170" s="1293"/>
      <c r="GX170" s="1293"/>
      <c r="GY170" s="1293"/>
      <c r="GZ170" s="1293"/>
      <c r="HA170" s="1293"/>
      <c r="HB170" s="1293"/>
      <c r="HC170" s="1293"/>
      <c r="HD170" s="1293"/>
      <c r="HE170" s="1293"/>
      <c r="HF170" s="1293"/>
      <c r="HG170" s="1293"/>
      <c r="HH170" s="1293"/>
      <c r="HI170" s="1293"/>
      <c r="HJ170" s="1293"/>
      <c r="HK170" s="1293"/>
      <c r="HL170" s="1293"/>
      <c r="HM170" s="1293"/>
      <c r="HN170" s="1293"/>
      <c r="HO170" s="1293"/>
      <c r="HP170" s="1293"/>
      <c r="HQ170" s="1293"/>
      <c r="HR170" s="1293"/>
      <c r="HS170" s="1293"/>
      <c r="HT170" s="1293"/>
      <c r="HU170" s="1293"/>
      <c r="HV170" s="1293"/>
      <c r="HW170" s="1293"/>
      <c r="HX170" s="1293"/>
      <c r="HY170" s="1293"/>
      <c r="HZ170" s="1293"/>
      <c r="IA170" s="1293"/>
      <c r="IB170" s="1293"/>
      <c r="IC170" s="1293"/>
      <c r="ID170" s="1293"/>
      <c r="IE170" s="1293"/>
      <c r="IF170" s="1293"/>
      <c r="IG170" s="1293"/>
      <c r="IH170" s="1293"/>
      <c r="II170" s="1293"/>
      <c r="IJ170" s="1293"/>
      <c r="IK170" s="1293"/>
      <c r="IL170" s="1293"/>
      <c r="IM170" s="1293"/>
      <c r="IN170" s="1293"/>
      <c r="IO170" s="1293"/>
      <c r="IP170" s="1293"/>
      <c r="IQ170" s="1293"/>
      <c r="IR170" s="1293"/>
      <c r="IS170" s="1293"/>
      <c r="IT170" s="1293"/>
      <c r="IU170" s="1293"/>
      <c r="IV170" s="1293"/>
    </row>
    <row r="171" spans="1:256" s="1232" customFormat="1">
      <c r="A171" s="1286" t="s">
        <v>593</v>
      </c>
      <c r="B171" s="1230">
        <v>143125354.97999999</v>
      </c>
      <c r="C171" s="1262">
        <v>1.4489999999999999E-2</v>
      </c>
      <c r="D171" s="1247">
        <v>263</v>
      </c>
      <c r="E171" s="1262">
        <v>2.7599999999999999E-3</v>
      </c>
      <c r="F171" s="1234"/>
      <c r="G171" s="1286" t="s">
        <v>593</v>
      </c>
      <c r="H171" s="1274">
        <v>170748271.58000001</v>
      </c>
      <c r="I171" s="1275">
        <v>1.728E-2</v>
      </c>
      <c r="J171" s="1276">
        <v>358</v>
      </c>
      <c r="K171" s="1275">
        <v>3.7499999999999999E-3</v>
      </c>
      <c r="M171" s="1235"/>
      <c r="N171" s="1235"/>
      <c r="O171" s="1235"/>
      <c r="P171" s="1235"/>
      <c r="Q171" s="1235"/>
      <c r="R171" s="1235"/>
      <c r="S171" s="1235"/>
      <c r="T171" s="1235"/>
      <c r="U171" s="1235"/>
      <c r="V171" s="1235"/>
      <c r="W171" s="1235"/>
      <c r="X171" s="1235"/>
      <c r="Y171" s="1235"/>
      <c r="Z171" s="1235"/>
      <c r="AA171" s="1235"/>
      <c r="AB171" s="1235"/>
      <c r="AC171" s="1235"/>
      <c r="AD171" s="1235"/>
      <c r="AE171" s="1235"/>
      <c r="AF171" s="1235"/>
      <c r="AG171" s="1235"/>
      <c r="AH171" s="1235"/>
      <c r="AI171" s="1235"/>
      <c r="AJ171" s="1235"/>
    </row>
    <row r="172" spans="1:256" s="1232" customFormat="1" ht="12.75" customHeight="1">
      <c r="A172" s="1286" t="s">
        <v>594</v>
      </c>
      <c r="B172" s="1230">
        <v>86733108.870000005</v>
      </c>
      <c r="C172" s="1262">
        <v>8.7799999999999996E-3</v>
      </c>
      <c r="D172" s="1247">
        <v>134</v>
      </c>
      <c r="E172" s="1262">
        <v>1.41E-3</v>
      </c>
      <c r="G172" s="1286" t="s">
        <v>594</v>
      </c>
      <c r="H172" s="1274">
        <v>86642571.840000004</v>
      </c>
      <c r="I172" s="1275">
        <v>8.77E-3</v>
      </c>
      <c r="J172" s="1276">
        <v>155</v>
      </c>
      <c r="K172" s="1275">
        <v>1.6299999999999999E-3</v>
      </c>
      <c r="M172" s="1235"/>
      <c r="N172" s="1235"/>
      <c r="O172" s="1235"/>
      <c r="P172" s="1235"/>
      <c r="Q172" s="1235"/>
      <c r="R172" s="1235"/>
      <c r="S172" s="1235"/>
      <c r="T172" s="1235"/>
      <c r="U172" s="1235"/>
      <c r="V172" s="1235"/>
      <c r="W172" s="1235"/>
      <c r="X172" s="1235"/>
      <c r="Y172" s="1235"/>
      <c r="Z172" s="1235"/>
      <c r="AA172" s="1235"/>
      <c r="AB172" s="1235"/>
      <c r="AC172" s="1235"/>
      <c r="AD172" s="1235"/>
      <c r="AE172" s="1235"/>
      <c r="AF172" s="1235"/>
      <c r="AG172" s="1235"/>
      <c r="AH172" s="1235"/>
      <c r="AI172" s="1235"/>
      <c r="AJ172" s="1235"/>
    </row>
    <row r="173" spans="1:256" s="1232" customFormat="1" ht="12.75" customHeight="1">
      <c r="A173" s="1286" t="s">
        <v>595</v>
      </c>
      <c r="B173" s="1230">
        <v>54511455.869999997</v>
      </c>
      <c r="C173" s="1262">
        <v>5.5199999999999997E-3</v>
      </c>
      <c r="D173" s="1247">
        <v>73</v>
      </c>
      <c r="E173" s="1262">
        <v>7.6999999999999996E-4</v>
      </c>
      <c r="F173" s="1234"/>
      <c r="G173" s="1286" t="s">
        <v>595</v>
      </c>
      <c r="H173" s="1274">
        <v>68676239.939999998</v>
      </c>
      <c r="I173" s="1275">
        <v>6.9499999999999996E-3</v>
      </c>
      <c r="J173" s="1276">
        <v>106</v>
      </c>
      <c r="K173" s="1275">
        <v>1.1100000000000001E-3</v>
      </c>
      <c r="M173" s="1235"/>
      <c r="N173" s="1235"/>
      <c r="O173" s="1235"/>
      <c r="P173" s="1235"/>
      <c r="Q173" s="1235"/>
      <c r="R173" s="1235"/>
      <c r="S173" s="1235"/>
      <c r="T173" s="1235"/>
      <c r="U173" s="1235"/>
      <c r="V173" s="1235"/>
      <c r="W173" s="1235"/>
      <c r="X173" s="1235"/>
      <c r="Y173" s="1235"/>
      <c r="Z173" s="1235"/>
      <c r="AA173" s="1235"/>
      <c r="AB173" s="1235"/>
      <c r="AC173" s="1235"/>
      <c r="AD173" s="1235"/>
      <c r="AE173" s="1235"/>
      <c r="AF173" s="1235"/>
      <c r="AG173" s="1235"/>
      <c r="AH173" s="1235"/>
      <c r="AI173" s="1235"/>
      <c r="AJ173" s="1235"/>
    </row>
    <row r="174" spans="1:256" s="1232" customFormat="1">
      <c r="A174" s="1286" t="s">
        <v>596</v>
      </c>
      <c r="B174" s="1230">
        <v>32482216.809999999</v>
      </c>
      <c r="C174" s="1262">
        <v>3.29E-3</v>
      </c>
      <c r="D174" s="1247">
        <v>38</v>
      </c>
      <c r="E174" s="1262">
        <v>4.0000000000000002E-4</v>
      </c>
      <c r="F174" s="1234"/>
      <c r="G174" s="1286" t="s">
        <v>596</v>
      </c>
      <c r="H174" s="1274">
        <v>38792682.810000002</v>
      </c>
      <c r="I174" s="1275">
        <v>3.9300000000000003E-3</v>
      </c>
      <c r="J174" s="1276">
        <v>52</v>
      </c>
      <c r="K174" s="1275">
        <v>5.5000000000000003E-4</v>
      </c>
      <c r="M174" s="1235"/>
      <c r="N174" s="1235"/>
      <c r="O174" s="1235"/>
      <c r="P174" s="1235"/>
      <c r="Q174" s="1235"/>
      <c r="R174" s="1235"/>
      <c r="S174" s="1235"/>
      <c r="T174" s="1235"/>
      <c r="U174" s="1235"/>
      <c r="V174" s="1235"/>
      <c r="W174" s="1235"/>
      <c r="X174" s="1235"/>
      <c r="Y174" s="1235"/>
      <c r="Z174" s="1235"/>
      <c r="AA174" s="1235"/>
      <c r="AB174" s="1235"/>
      <c r="AC174" s="1235"/>
      <c r="AD174" s="1235"/>
      <c r="AE174" s="1235"/>
      <c r="AF174" s="1235"/>
      <c r="AG174" s="1235"/>
      <c r="AH174" s="1235"/>
      <c r="AI174" s="1235"/>
      <c r="AJ174" s="1235"/>
    </row>
    <row r="175" spans="1:256" s="1232" customFormat="1">
      <c r="A175" s="1286" t="s">
        <v>597</v>
      </c>
      <c r="B175" s="1230">
        <v>27388067.800000001</v>
      </c>
      <c r="C175" s="1262">
        <v>2.7699999999999999E-3</v>
      </c>
      <c r="D175" s="1247">
        <v>29</v>
      </c>
      <c r="E175" s="1262">
        <v>2.9999999999999997E-4</v>
      </c>
      <c r="F175" s="1278"/>
      <c r="G175" s="1286" t="s">
        <v>597</v>
      </c>
      <c r="H175" s="1274">
        <v>37843835.5</v>
      </c>
      <c r="I175" s="1275">
        <v>3.8300000000000001E-3</v>
      </c>
      <c r="J175" s="1276">
        <v>45</v>
      </c>
      <c r="K175" s="1275">
        <v>4.6999999999999999E-4</v>
      </c>
      <c r="M175" s="1235"/>
      <c r="N175" s="1235"/>
      <c r="O175" s="1235"/>
      <c r="P175" s="1235"/>
      <c r="Q175" s="1235"/>
      <c r="R175" s="1235"/>
      <c r="S175" s="1235"/>
      <c r="T175" s="1235"/>
      <c r="U175" s="1235"/>
      <c r="V175" s="1235"/>
      <c r="W175" s="1235"/>
      <c r="X175" s="1235"/>
      <c r="Y175" s="1235"/>
      <c r="Z175" s="1235"/>
      <c r="AA175" s="1235"/>
      <c r="AB175" s="1235"/>
      <c r="AC175" s="1235"/>
      <c r="AD175" s="1235"/>
      <c r="AE175" s="1235"/>
      <c r="AF175" s="1235"/>
      <c r="AG175" s="1235"/>
      <c r="AH175" s="1235"/>
      <c r="AI175" s="1235"/>
      <c r="AJ175" s="1235"/>
    </row>
    <row r="176" spans="1:256" s="1232" customFormat="1" ht="13.5" thickBot="1">
      <c r="A176" s="1252" t="s">
        <v>814</v>
      </c>
      <c r="B176" s="1253">
        <v>9880455830.0199986</v>
      </c>
      <c r="C176" s="1250">
        <v>1.0000099999999998</v>
      </c>
      <c r="D176" s="1251">
        <v>95364</v>
      </c>
      <c r="E176" s="1250">
        <v>1.0000200000000001</v>
      </c>
      <c r="F176" s="1278"/>
      <c r="G176" s="1252" t="s">
        <v>814</v>
      </c>
      <c r="H176" s="1253">
        <v>9880455830.0200005</v>
      </c>
      <c r="I176" s="1250">
        <v>1</v>
      </c>
      <c r="J176" s="1251">
        <v>95364</v>
      </c>
      <c r="K176" s="1250">
        <v>1.0000000000000002</v>
      </c>
      <c r="M176" s="1235"/>
      <c r="N176" s="1235"/>
      <c r="O176" s="1235"/>
      <c r="P176" s="1235"/>
      <c r="Q176" s="1235"/>
      <c r="R176" s="1235"/>
      <c r="S176" s="1235"/>
      <c r="T176" s="1235"/>
      <c r="U176" s="1235"/>
      <c r="V176" s="1235"/>
      <c r="W176" s="1235"/>
      <c r="X176" s="1235"/>
      <c r="Y176" s="1235"/>
      <c r="Z176" s="1235"/>
      <c r="AA176" s="1235"/>
      <c r="AB176" s="1235"/>
      <c r="AC176" s="1235"/>
      <c r="AD176" s="1235"/>
      <c r="AE176" s="1235"/>
      <c r="AF176" s="1235"/>
      <c r="AG176" s="1235"/>
      <c r="AH176" s="1235"/>
      <c r="AI176" s="1235"/>
      <c r="AJ176" s="1235"/>
    </row>
    <row r="177" spans="1:36" s="1232" customFormat="1" ht="13.5" thickTop="1">
      <c r="M177" s="1235"/>
      <c r="N177" s="1235"/>
      <c r="O177" s="1235"/>
      <c r="P177" s="1235"/>
      <c r="Q177" s="1235"/>
      <c r="R177" s="1235"/>
      <c r="S177" s="1235"/>
      <c r="T177" s="1235"/>
      <c r="U177" s="1235"/>
      <c r="V177" s="1235"/>
      <c r="W177" s="1235"/>
      <c r="X177" s="1235"/>
      <c r="Y177" s="1235"/>
      <c r="Z177" s="1235"/>
      <c r="AA177" s="1235"/>
      <c r="AB177" s="1235"/>
      <c r="AC177" s="1235"/>
      <c r="AD177" s="1235"/>
      <c r="AE177" s="1235"/>
      <c r="AF177" s="1235"/>
      <c r="AG177" s="1235"/>
      <c r="AH177" s="1235"/>
      <c r="AI177" s="1235"/>
      <c r="AJ177" s="1235"/>
    </row>
    <row r="178" spans="1:36" s="1232" customFormat="1" ht="12.75" customHeight="1">
      <c r="A178" s="1289"/>
      <c r="B178" s="1254"/>
      <c r="C178" s="1255"/>
      <c r="D178" s="1254"/>
      <c r="E178" s="1255"/>
      <c r="M178" s="1235"/>
      <c r="N178" s="1235"/>
      <c r="O178" s="1235"/>
      <c r="P178" s="1235"/>
      <c r="Q178" s="1235"/>
      <c r="R178" s="1235"/>
      <c r="S178" s="1235"/>
      <c r="T178" s="1235"/>
      <c r="U178" s="1235"/>
      <c r="V178" s="1235"/>
      <c r="W178" s="1235"/>
      <c r="X178" s="1235"/>
      <c r="Y178" s="1235"/>
      <c r="Z178" s="1235"/>
      <c r="AA178" s="1235"/>
      <c r="AB178" s="1235"/>
      <c r="AC178" s="1235"/>
      <c r="AD178" s="1235"/>
      <c r="AE178" s="1235"/>
      <c r="AF178" s="1235"/>
      <c r="AG178" s="1235"/>
      <c r="AH178" s="1235"/>
      <c r="AI178" s="1235"/>
      <c r="AJ178" s="1235"/>
    </row>
    <row r="179" spans="1:36" s="1232" customFormat="1">
      <c r="A179" s="1291"/>
      <c r="D179" s="1247"/>
      <c r="M179" s="1235"/>
      <c r="N179" s="1235"/>
      <c r="O179" s="1235"/>
      <c r="P179" s="1235"/>
      <c r="Q179" s="1235"/>
      <c r="R179" s="1235"/>
      <c r="S179" s="1235"/>
      <c r="T179" s="1235"/>
      <c r="U179" s="1235"/>
      <c r="V179" s="1235"/>
      <c r="W179" s="1235"/>
      <c r="X179" s="1235"/>
      <c r="Y179" s="1235"/>
      <c r="Z179" s="1235"/>
      <c r="AA179" s="1235"/>
      <c r="AB179" s="1235"/>
      <c r="AC179" s="1235"/>
      <c r="AD179" s="1235"/>
      <c r="AE179" s="1235"/>
      <c r="AF179" s="1235"/>
      <c r="AG179" s="1235"/>
      <c r="AH179" s="1235"/>
      <c r="AI179" s="1235"/>
      <c r="AJ179" s="1235"/>
    </row>
    <row r="180" spans="1:36" s="1232" customFormat="1" ht="15.75">
      <c r="A180" s="1237" t="s">
        <v>494</v>
      </c>
      <c r="B180" s="1254"/>
      <c r="C180" s="1255"/>
      <c r="D180" s="1256"/>
      <c r="E180" s="1255"/>
      <c r="G180" s="1237" t="s">
        <v>721</v>
      </c>
      <c r="H180" s="1294"/>
      <c r="I180" s="1295"/>
      <c r="J180" s="1296"/>
      <c r="K180" s="1295"/>
      <c r="M180" s="1235"/>
      <c r="N180" s="1235"/>
      <c r="O180" s="1235"/>
      <c r="P180" s="1235"/>
      <c r="Q180" s="1235"/>
      <c r="R180" s="1235"/>
      <c r="S180" s="1235"/>
      <c r="T180" s="1235"/>
      <c r="U180" s="1235"/>
      <c r="V180" s="1235"/>
      <c r="W180" s="1235"/>
      <c r="X180" s="1235"/>
      <c r="Y180" s="1235"/>
      <c r="Z180" s="1235"/>
      <c r="AA180" s="1235"/>
      <c r="AB180" s="1235"/>
      <c r="AC180" s="1235"/>
      <c r="AD180" s="1235"/>
      <c r="AE180" s="1235"/>
      <c r="AF180" s="1235"/>
      <c r="AG180" s="1235"/>
      <c r="AH180" s="1235"/>
      <c r="AI180" s="1235"/>
      <c r="AJ180" s="1235"/>
    </row>
    <row r="181" spans="1:36" s="1232" customFormat="1" ht="25.5">
      <c r="A181" s="1297"/>
      <c r="B181" s="1240" t="s">
        <v>934</v>
      </c>
      <c r="C181" s="1241" t="s">
        <v>991</v>
      </c>
      <c r="D181" s="1285" t="s">
        <v>882</v>
      </c>
      <c r="E181" s="1241" t="s">
        <v>991</v>
      </c>
      <c r="G181" s="1290" t="s">
        <v>722</v>
      </c>
      <c r="H181" s="1240" t="s">
        <v>934</v>
      </c>
      <c r="I181" s="1241" t="s">
        <v>991</v>
      </c>
      <c r="J181" s="1285" t="s">
        <v>992</v>
      </c>
      <c r="K181" s="1241" t="s">
        <v>991</v>
      </c>
      <c r="M181" s="1235"/>
      <c r="N181" s="1235"/>
      <c r="O181" s="1235"/>
      <c r="P181" s="1235"/>
      <c r="Q181" s="1235"/>
      <c r="R181" s="1235"/>
      <c r="S181" s="1235"/>
      <c r="T181" s="1235"/>
      <c r="U181" s="1235"/>
      <c r="V181" s="1235"/>
      <c r="W181" s="1235"/>
      <c r="X181" s="1235"/>
      <c r="Y181" s="1235"/>
      <c r="Z181" s="1235"/>
      <c r="AA181" s="1235"/>
      <c r="AB181" s="1235"/>
      <c r="AC181" s="1235"/>
      <c r="AD181" s="1235"/>
      <c r="AE181" s="1235"/>
      <c r="AF181" s="1235"/>
      <c r="AG181" s="1235"/>
      <c r="AH181" s="1235"/>
      <c r="AI181" s="1235"/>
      <c r="AJ181" s="1235"/>
    </row>
    <row r="182" spans="1:36" s="1232" customFormat="1">
      <c r="A182" s="1286" t="s">
        <v>481</v>
      </c>
      <c r="B182" s="1230">
        <v>1947100631.3900001</v>
      </c>
      <c r="C182" s="1262">
        <v>0.19707</v>
      </c>
      <c r="D182" s="1247">
        <v>18006</v>
      </c>
      <c r="E182" s="1262">
        <v>0.18881000000000001</v>
      </c>
      <c r="G182" s="1298" t="s">
        <v>476</v>
      </c>
      <c r="H182" s="1274">
        <v>7470613787.21</v>
      </c>
      <c r="I182" s="1275">
        <v>0.75609999999999999</v>
      </c>
      <c r="J182" s="1276">
        <v>77159</v>
      </c>
      <c r="K182" s="1275">
        <v>0.80910000000000004</v>
      </c>
      <c r="M182" s="1235"/>
      <c r="N182" s="1235"/>
      <c r="O182" s="1235"/>
      <c r="P182" s="1235"/>
      <c r="Q182" s="1235"/>
      <c r="R182" s="1235"/>
      <c r="S182" s="1235"/>
      <c r="T182" s="1235"/>
      <c r="U182" s="1235"/>
      <c r="V182" s="1235"/>
      <c r="W182" s="1235"/>
      <c r="X182" s="1235"/>
      <c r="Y182" s="1235"/>
      <c r="Z182" s="1235"/>
      <c r="AA182" s="1235"/>
      <c r="AB182" s="1235"/>
      <c r="AC182" s="1235"/>
      <c r="AD182" s="1235"/>
      <c r="AE182" s="1235"/>
      <c r="AF182" s="1235"/>
      <c r="AG182" s="1235"/>
      <c r="AH182" s="1235"/>
      <c r="AI182" s="1235"/>
      <c r="AJ182" s="1235"/>
    </row>
    <row r="183" spans="1:36" s="1232" customFormat="1">
      <c r="A183" s="1286" t="s">
        <v>482</v>
      </c>
      <c r="B183" s="1230">
        <v>129004992.13</v>
      </c>
      <c r="C183" s="1262">
        <v>1.306E-2</v>
      </c>
      <c r="D183" s="1247">
        <v>2075</v>
      </c>
      <c r="E183" s="1262">
        <v>2.1760000000000002E-2</v>
      </c>
      <c r="G183" s="1298" t="s">
        <v>600</v>
      </c>
      <c r="H183" s="1274">
        <v>2409842042.8099999</v>
      </c>
      <c r="I183" s="1275">
        <v>0.24390000000000001</v>
      </c>
      <c r="J183" s="1276">
        <v>18205</v>
      </c>
      <c r="K183" s="1275">
        <v>0.19089999999999999</v>
      </c>
      <c r="M183" s="1235"/>
      <c r="N183" s="1235"/>
      <c r="O183" s="1235"/>
      <c r="P183" s="1235"/>
      <c r="Q183" s="1235"/>
      <c r="R183" s="1235"/>
      <c r="S183" s="1235"/>
      <c r="T183" s="1235"/>
      <c r="U183" s="1235"/>
      <c r="V183" s="1235"/>
      <c r="W183" s="1235"/>
      <c r="X183" s="1235"/>
      <c r="Y183" s="1235"/>
      <c r="Z183" s="1235"/>
      <c r="AA183" s="1235"/>
      <c r="AB183" s="1235"/>
      <c r="AC183" s="1235"/>
      <c r="AD183" s="1235"/>
      <c r="AE183" s="1235"/>
      <c r="AF183" s="1235"/>
      <c r="AG183" s="1235"/>
      <c r="AH183" s="1235"/>
      <c r="AI183" s="1235"/>
      <c r="AJ183" s="1235"/>
    </row>
    <row r="184" spans="1:36" s="1232" customFormat="1" ht="12.75" customHeight="1" thickBot="1">
      <c r="A184" s="1286" t="s">
        <v>483</v>
      </c>
      <c r="B184" s="1230">
        <v>7804350206.5</v>
      </c>
      <c r="C184" s="1262">
        <v>0.78988000000000003</v>
      </c>
      <c r="D184" s="1247">
        <v>75283</v>
      </c>
      <c r="E184" s="1262">
        <v>0.78942999999999997</v>
      </c>
      <c r="F184" s="1234"/>
      <c r="G184" s="1252" t="s">
        <v>814</v>
      </c>
      <c r="H184" s="1253">
        <v>9880455830.0200005</v>
      </c>
      <c r="I184" s="1250">
        <v>1</v>
      </c>
      <c r="J184" s="1251">
        <v>95364</v>
      </c>
      <c r="K184" s="1250">
        <v>1</v>
      </c>
      <c r="M184" s="1235"/>
      <c r="N184" s="1235"/>
      <c r="O184" s="1235"/>
      <c r="P184" s="1235"/>
      <c r="Q184" s="1235"/>
      <c r="R184" s="1235"/>
      <c r="S184" s="1235"/>
      <c r="T184" s="1235"/>
      <c r="U184" s="1235"/>
      <c r="V184" s="1235"/>
      <c r="W184" s="1235"/>
      <c r="X184" s="1235"/>
      <c r="Y184" s="1235"/>
      <c r="Z184" s="1235"/>
      <c r="AA184" s="1235"/>
      <c r="AB184" s="1235"/>
      <c r="AC184" s="1235"/>
      <c r="AD184" s="1235"/>
      <c r="AE184" s="1235"/>
      <c r="AF184" s="1235"/>
      <c r="AG184" s="1235"/>
      <c r="AH184" s="1235"/>
      <c r="AI184" s="1235"/>
      <c r="AJ184" s="1235"/>
    </row>
    <row r="185" spans="1:36" s="1232" customFormat="1" ht="13.5" customHeight="1" thickTop="1" thickBot="1">
      <c r="A185" s="1252" t="s">
        <v>814</v>
      </c>
      <c r="B185" s="1253">
        <v>9880455830.0200005</v>
      </c>
      <c r="C185" s="1250">
        <v>1.0000100000000001</v>
      </c>
      <c r="D185" s="1251">
        <v>95364</v>
      </c>
      <c r="E185" s="1250">
        <v>1</v>
      </c>
      <c r="F185" s="1234"/>
      <c r="M185" s="1235"/>
      <c r="N185" s="1235"/>
      <c r="O185" s="1235"/>
      <c r="P185" s="1235"/>
      <c r="Q185" s="1235"/>
      <c r="R185" s="1235"/>
      <c r="S185" s="1235"/>
      <c r="T185" s="1235"/>
      <c r="U185" s="1235"/>
      <c r="V185" s="1235"/>
      <c r="W185" s="1235"/>
      <c r="X185" s="1235"/>
      <c r="Y185" s="1235"/>
      <c r="Z185" s="1235"/>
      <c r="AA185" s="1235"/>
      <c r="AB185" s="1235"/>
      <c r="AC185" s="1235"/>
      <c r="AD185" s="1235"/>
      <c r="AE185" s="1235"/>
      <c r="AF185" s="1235"/>
      <c r="AG185" s="1235"/>
      <c r="AH185" s="1235"/>
      <c r="AI185" s="1235"/>
      <c r="AJ185" s="1235"/>
    </row>
    <row r="186" spans="1:36" s="1232" customFormat="1" ht="13.5" thickTop="1">
      <c r="A186" s="1280"/>
      <c r="B186" s="1230"/>
      <c r="C186" s="1231"/>
      <c r="D186" s="1230"/>
      <c r="E186" s="1231"/>
      <c r="F186" s="1234"/>
      <c r="G186" s="1234"/>
      <c r="M186" s="1235"/>
      <c r="N186" s="1235"/>
      <c r="O186" s="1235"/>
      <c r="P186" s="1235"/>
      <c r="Q186" s="1235"/>
      <c r="R186" s="1235"/>
      <c r="S186" s="1235"/>
      <c r="T186" s="1235"/>
      <c r="U186" s="1235"/>
      <c r="V186" s="1235"/>
      <c r="W186" s="1235"/>
      <c r="X186" s="1235"/>
      <c r="Y186" s="1235"/>
      <c r="Z186" s="1235"/>
      <c r="AA186" s="1235"/>
      <c r="AB186" s="1235"/>
      <c r="AC186" s="1235"/>
      <c r="AD186" s="1235"/>
      <c r="AE186" s="1235"/>
      <c r="AF186" s="1235"/>
      <c r="AG186" s="1235"/>
      <c r="AH186" s="1235"/>
      <c r="AI186" s="1235"/>
      <c r="AJ186" s="1235"/>
    </row>
    <row r="187" spans="1:36" s="1232" customFormat="1">
      <c r="A187" s="1289"/>
      <c r="D187" s="1247"/>
      <c r="F187" s="1234"/>
      <c r="G187" s="1234"/>
      <c r="M187" s="1235"/>
      <c r="N187" s="1235"/>
      <c r="O187" s="1235"/>
      <c r="P187" s="1235"/>
      <c r="Q187" s="1235"/>
      <c r="R187" s="1235"/>
      <c r="S187" s="1235"/>
      <c r="T187" s="1235"/>
      <c r="U187" s="1235"/>
      <c r="V187" s="1235"/>
      <c r="W187" s="1235"/>
      <c r="X187" s="1235"/>
      <c r="Y187" s="1235"/>
      <c r="Z187" s="1235"/>
      <c r="AA187" s="1235"/>
      <c r="AB187" s="1235"/>
      <c r="AC187" s="1235"/>
      <c r="AD187" s="1235"/>
      <c r="AE187" s="1235"/>
      <c r="AF187" s="1235"/>
      <c r="AG187" s="1235"/>
      <c r="AH187" s="1235"/>
      <c r="AI187" s="1235"/>
      <c r="AJ187" s="1235"/>
    </row>
    <row r="188" spans="1:36" s="1232" customFormat="1">
      <c r="A188" s="1299"/>
      <c r="B188" s="1235"/>
      <c r="C188" s="1235"/>
      <c r="D188" s="1298"/>
      <c r="E188" s="1235"/>
      <c r="G188" s="1246"/>
      <c r="M188" s="1235"/>
      <c r="N188" s="1235"/>
      <c r="O188" s="1235"/>
      <c r="P188" s="1235"/>
      <c r="Q188" s="1235"/>
      <c r="R188" s="1235"/>
      <c r="S188" s="1235"/>
      <c r="T188" s="1235"/>
      <c r="U188" s="1235"/>
      <c r="V188" s="1235"/>
      <c r="W188" s="1235"/>
      <c r="X188" s="1235"/>
      <c r="Y188" s="1235"/>
      <c r="Z188" s="1235"/>
      <c r="AA188" s="1235"/>
      <c r="AB188" s="1235"/>
      <c r="AC188" s="1235"/>
      <c r="AD188" s="1235"/>
      <c r="AE188" s="1235"/>
      <c r="AF188" s="1235"/>
      <c r="AG188" s="1235"/>
      <c r="AH188" s="1235"/>
      <c r="AI188" s="1235"/>
      <c r="AJ188" s="1235"/>
    </row>
    <row r="189" spans="1:36" s="1232" customFormat="1" ht="15.75">
      <c r="A189" s="1237" t="s">
        <v>495</v>
      </c>
      <c r="B189" s="1281"/>
      <c r="C189" s="1282"/>
      <c r="D189" s="1281"/>
      <c r="E189" s="1282"/>
      <c r="G189" s="1246"/>
      <c r="M189" s="1235"/>
      <c r="N189" s="1235"/>
      <c r="O189" s="1235"/>
      <c r="P189" s="1235"/>
      <c r="Q189" s="1235"/>
      <c r="R189" s="1235"/>
      <c r="S189" s="1235"/>
      <c r="T189" s="1235"/>
      <c r="U189" s="1235"/>
      <c r="V189" s="1235"/>
      <c r="W189" s="1235"/>
      <c r="X189" s="1235"/>
      <c r="Y189" s="1235"/>
      <c r="Z189" s="1235"/>
      <c r="AA189" s="1235"/>
      <c r="AB189" s="1235"/>
      <c r="AC189" s="1235"/>
      <c r="AD189" s="1235"/>
      <c r="AE189" s="1235"/>
      <c r="AF189" s="1235"/>
      <c r="AG189" s="1235"/>
      <c r="AH189" s="1235"/>
      <c r="AI189" s="1235"/>
      <c r="AJ189" s="1235"/>
    </row>
    <row r="190" spans="1:36" s="1271" customFormat="1" ht="25.5">
      <c r="A190" s="1300"/>
      <c r="B190" s="1240" t="s">
        <v>937</v>
      </c>
      <c r="C190" s="1241" t="s">
        <v>991</v>
      </c>
      <c r="D190" s="1301" t="s">
        <v>938</v>
      </c>
      <c r="E190" s="1241" t="s">
        <v>991</v>
      </c>
      <c r="F190" s="1240" t="s">
        <v>992</v>
      </c>
      <c r="G190" s="1241" t="s">
        <v>991</v>
      </c>
      <c r="M190" s="1272"/>
      <c r="N190" s="1272"/>
      <c r="O190" s="1272"/>
      <c r="P190" s="1272"/>
      <c r="Q190" s="1272"/>
      <c r="R190" s="1272"/>
      <c r="S190" s="1272"/>
      <c r="T190" s="1272"/>
      <c r="U190" s="1272"/>
      <c r="V190" s="1272"/>
      <c r="W190" s="1272"/>
      <c r="X190" s="1272"/>
      <c r="Y190" s="1272"/>
      <c r="Z190" s="1272"/>
      <c r="AA190" s="1272"/>
      <c r="AB190" s="1272"/>
      <c r="AC190" s="1272"/>
      <c r="AD190" s="1272"/>
      <c r="AE190" s="1272"/>
      <c r="AF190" s="1272"/>
      <c r="AG190" s="1272"/>
      <c r="AH190" s="1272"/>
      <c r="AI190" s="1272"/>
      <c r="AJ190" s="1272"/>
    </row>
    <row r="191" spans="1:36" s="1232" customFormat="1">
      <c r="A191" s="1286" t="s">
        <v>79</v>
      </c>
      <c r="B191" s="1230">
        <v>6707773755.1000004</v>
      </c>
      <c r="C191" s="1246">
        <v>0.71667999999999998</v>
      </c>
      <c r="D191" s="1302">
        <v>419451847.12</v>
      </c>
      <c r="E191" s="1246">
        <v>0.80511999999999995</v>
      </c>
      <c r="F191" s="1247">
        <v>70187</v>
      </c>
      <c r="G191" s="1246">
        <v>0.73599000000000003</v>
      </c>
      <c r="M191" s="1235"/>
      <c r="N191" s="1235"/>
      <c r="O191" s="1235"/>
      <c r="P191" s="1235"/>
      <c r="Q191" s="1235"/>
      <c r="R191" s="1235"/>
      <c r="S191" s="1235"/>
      <c r="T191" s="1235"/>
      <c r="U191" s="1235"/>
      <c r="V191" s="1235"/>
      <c r="W191" s="1235"/>
      <c r="X191" s="1235"/>
      <c r="Y191" s="1235"/>
      <c r="Z191" s="1235"/>
      <c r="AA191" s="1235"/>
      <c r="AB191" s="1235"/>
      <c r="AC191" s="1235"/>
      <c r="AD191" s="1235"/>
      <c r="AE191" s="1235"/>
      <c r="AF191" s="1235"/>
      <c r="AG191" s="1235"/>
      <c r="AH191" s="1235"/>
      <c r="AI191" s="1235"/>
      <c r="AJ191" s="1235"/>
    </row>
    <row r="192" spans="1:36" s="1232" customFormat="1">
      <c r="A192" s="1286" t="s">
        <v>80</v>
      </c>
      <c r="B192" s="1230">
        <v>661339819.01999998</v>
      </c>
      <c r="C192" s="1246">
        <v>7.0660000000000001E-2</v>
      </c>
      <c r="D192" s="1302">
        <v>9766325.7799999993</v>
      </c>
      <c r="E192" s="1246">
        <v>1.8749999999999999E-2</v>
      </c>
      <c r="F192" s="1247">
        <v>4975</v>
      </c>
      <c r="G192" s="1246">
        <v>5.2170000000000001E-2</v>
      </c>
      <c r="M192" s="1235"/>
      <c r="N192" s="1235"/>
      <c r="O192" s="1235"/>
      <c r="P192" s="1235"/>
      <c r="Q192" s="1235"/>
      <c r="R192" s="1235"/>
      <c r="S192" s="1235"/>
      <c r="T192" s="1235"/>
      <c r="U192" s="1235"/>
      <c r="V192" s="1235"/>
      <c r="W192" s="1235"/>
      <c r="X192" s="1235"/>
      <c r="Y192" s="1235"/>
      <c r="Z192" s="1235"/>
      <c r="AA192" s="1235"/>
      <c r="AB192" s="1235"/>
      <c r="AC192" s="1235"/>
      <c r="AD192" s="1235"/>
      <c r="AE192" s="1235"/>
      <c r="AF192" s="1235"/>
      <c r="AG192" s="1235"/>
      <c r="AH192" s="1235"/>
      <c r="AI192" s="1235"/>
      <c r="AJ192" s="1235"/>
    </row>
    <row r="193" spans="1:36" s="1232" customFormat="1">
      <c r="A193" s="1286" t="s">
        <v>81</v>
      </c>
      <c r="B193" s="1230">
        <v>412855434.06</v>
      </c>
      <c r="C193" s="1246">
        <v>4.4110000000000003E-2</v>
      </c>
      <c r="D193" s="1302">
        <v>6847618.1200000001</v>
      </c>
      <c r="E193" s="1246">
        <v>1.3140000000000001E-2</v>
      </c>
      <c r="F193" s="1247">
        <v>3483</v>
      </c>
      <c r="G193" s="1246">
        <v>3.6519999999999997E-2</v>
      </c>
      <c r="M193" s="1235"/>
      <c r="N193" s="1235"/>
      <c r="O193" s="1235"/>
      <c r="P193" s="1235"/>
      <c r="Q193" s="1235"/>
      <c r="R193" s="1235"/>
      <c r="S193" s="1235"/>
      <c r="T193" s="1235"/>
      <c r="U193" s="1235"/>
      <c r="V193" s="1235"/>
      <c r="W193" s="1235"/>
      <c r="X193" s="1235"/>
      <c r="Y193" s="1235"/>
      <c r="Z193" s="1235"/>
      <c r="AA193" s="1235"/>
      <c r="AB193" s="1235"/>
      <c r="AC193" s="1235"/>
      <c r="AD193" s="1235"/>
      <c r="AE193" s="1235"/>
      <c r="AF193" s="1235"/>
      <c r="AG193" s="1235"/>
      <c r="AH193" s="1235"/>
      <c r="AI193" s="1235"/>
      <c r="AJ193" s="1235"/>
    </row>
    <row r="194" spans="1:36" s="1232" customFormat="1">
      <c r="A194" s="1286" t="s">
        <v>601</v>
      </c>
      <c r="B194" s="1230">
        <v>821823733.84000003</v>
      </c>
      <c r="C194" s="1246">
        <v>8.7809999999999999E-2</v>
      </c>
      <c r="D194" s="1302">
        <v>52776796.43</v>
      </c>
      <c r="E194" s="1246">
        <v>0.1013</v>
      </c>
      <c r="F194" s="1247">
        <v>9063</v>
      </c>
      <c r="G194" s="1246">
        <v>9.5039999999999999E-2</v>
      </c>
      <c r="M194" s="1235"/>
      <c r="N194" s="1235"/>
      <c r="O194" s="1235"/>
      <c r="P194" s="1235"/>
      <c r="Q194" s="1235"/>
      <c r="R194" s="1235"/>
      <c r="S194" s="1235"/>
      <c r="T194" s="1235"/>
      <c r="U194" s="1235"/>
      <c r="V194" s="1235"/>
      <c r="W194" s="1235"/>
      <c r="X194" s="1235"/>
      <c r="Y194" s="1235"/>
      <c r="Z194" s="1235"/>
      <c r="AA194" s="1235"/>
      <c r="AB194" s="1235"/>
      <c r="AC194" s="1235"/>
      <c r="AD194" s="1235"/>
      <c r="AE194" s="1235"/>
      <c r="AF194" s="1235"/>
      <c r="AG194" s="1235"/>
      <c r="AH194" s="1235"/>
      <c r="AI194" s="1235"/>
      <c r="AJ194" s="1235"/>
    </row>
    <row r="195" spans="1:36" s="1232" customFormat="1">
      <c r="A195" s="1286" t="s">
        <v>602</v>
      </c>
      <c r="B195" s="1230">
        <v>696804675.53999996</v>
      </c>
      <c r="C195" s="1246">
        <v>7.4450000000000002E-2</v>
      </c>
      <c r="D195" s="1302">
        <v>29793798.489999998</v>
      </c>
      <c r="E195" s="1246">
        <v>5.7189999999999998E-2</v>
      </c>
      <c r="F195" s="1247">
        <v>6919</v>
      </c>
      <c r="G195" s="1246">
        <v>7.2550000000000003E-2</v>
      </c>
      <c r="M195" s="1235"/>
      <c r="N195" s="1235"/>
      <c r="O195" s="1235"/>
      <c r="P195" s="1235"/>
      <c r="Q195" s="1235"/>
      <c r="R195" s="1235"/>
      <c r="S195" s="1235"/>
      <c r="T195" s="1235"/>
      <c r="U195" s="1235"/>
      <c r="V195" s="1235"/>
      <c r="W195" s="1235"/>
      <c r="X195" s="1235"/>
      <c r="Y195" s="1235"/>
      <c r="Z195" s="1235"/>
      <c r="AA195" s="1235"/>
      <c r="AB195" s="1235"/>
      <c r="AC195" s="1235"/>
      <c r="AD195" s="1235"/>
      <c r="AE195" s="1235"/>
      <c r="AF195" s="1235"/>
      <c r="AG195" s="1235"/>
      <c r="AH195" s="1235"/>
      <c r="AI195" s="1235"/>
      <c r="AJ195" s="1235"/>
    </row>
    <row r="196" spans="1:36" s="1232" customFormat="1">
      <c r="A196" s="1286" t="s">
        <v>603</v>
      </c>
      <c r="B196" s="1230">
        <v>58365121.43</v>
      </c>
      <c r="C196" s="1246">
        <v>6.2399999999999999E-3</v>
      </c>
      <c r="D196" s="1302">
        <v>2311353.65</v>
      </c>
      <c r="E196" s="1246">
        <v>4.4400000000000004E-3</v>
      </c>
      <c r="F196" s="1247">
        <v>725</v>
      </c>
      <c r="G196" s="1246">
        <v>7.6E-3</v>
      </c>
      <c r="M196" s="1235"/>
      <c r="N196" s="1235"/>
      <c r="O196" s="1235"/>
      <c r="P196" s="1235"/>
      <c r="Q196" s="1235"/>
      <c r="R196" s="1235"/>
      <c r="S196" s="1235"/>
      <c r="T196" s="1235"/>
      <c r="U196" s="1235"/>
      <c r="V196" s="1235"/>
      <c r="W196" s="1235"/>
      <c r="X196" s="1235"/>
      <c r="Y196" s="1235"/>
      <c r="Z196" s="1235"/>
      <c r="AA196" s="1235"/>
      <c r="AB196" s="1235"/>
      <c r="AC196" s="1235"/>
      <c r="AD196" s="1235"/>
      <c r="AE196" s="1235"/>
      <c r="AF196" s="1235"/>
      <c r="AG196" s="1235"/>
      <c r="AH196" s="1235"/>
      <c r="AI196" s="1235"/>
      <c r="AJ196" s="1235"/>
    </row>
    <row r="197" spans="1:36" s="1232" customFormat="1">
      <c r="A197" s="1286" t="s">
        <v>840</v>
      </c>
      <c r="B197" s="1230">
        <v>509968.68</v>
      </c>
      <c r="C197" s="1246">
        <v>5.0000000000000002E-5</v>
      </c>
      <c r="D197" s="1302">
        <v>35582.76</v>
      </c>
      <c r="E197" s="1246">
        <v>6.9999999999999994E-5</v>
      </c>
      <c r="F197" s="1247">
        <v>12</v>
      </c>
      <c r="G197" s="1246">
        <v>1.2999999999999999E-4</v>
      </c>
      <c r="M197" s="1235"/>
      <c r="N197" s="1235"/>
      <c r="O197" s="1235"/>
      <c r="P197" s="1235"/>
      <c r="Q197" s="1235"/>
      <c r="R197" s="1235"/>
      <c r="S197" s="1235"/>
      <c r="T197" s="1235"/>
      <c r="U197" s="1235"/>
      <c r="V197" s="1235"/>
      <c r="W197" s="1235"/>
      <c r="X197" s="1235"/>
      <c r="Y197" s="1235"/>
      <c r="Z197" s="1235"/>
      <c r="AA197" s="1235"/>
      <c r="AB197" s="1235"/>
      <c r="AC197" s="1235"/>
      <c r="AD197" s="1235"/>
      <c r="AE197" s="1235"/>
      <c r="AF197" s="1235"/>
      <c r="AG197" s="1235"/>
      <c r="AH197" s="1235"/>
      <c r="AI197" s="1235"/>
      <c r="AJ197" s="1235"/>
    </row>
    <row r="198" spans="1:36" s="1232" customFormat="1" ht="13.5" thickBot="1">
      <c r="A198" s="1252" t="s">
        <v>814</v>
      </c>
      <c r="B198" s="1253">
        <v>9359472507.670002</v>
      </c>
      <c r="C198" s="1250">
        <v>1</v>
      </c>
      <c r="D198" s="1303">
        <v>520983322.34999996</v>
      </c>
      <c r="E198" s="1250">
        <v>1.0000099999999998</v>
      </c>
      <c r="F198" s="1251">
        <v>95364</v>
      </c>
      <c r="G198" s="1250">
        <v>1.0000000000000002</v>
      </c>
      <c r="M198" s="1235"/>
      <c r="N198" s="1235"/>
      <c r="O198" s="1235"/>
      <c r="P198" s="1235"/>
      <c r="Q198" s="1235"/>
      <c r="R198" s="1235"/>
      <c r="S198" s="1235"/>
      <c r="T198" s="1235"/>
      <c r="U198" s="1235"/>
      <c r="V198" s="1235"/>
      <c r="W198" s="1235"/>
      <c r="X198" s="1235"/>
      <c r="Y198" s="1235"/>
      <c r="Z198" s="1235"/>
      <c r="AA198" s="1235"/>
      <c r="AB198" s="1235"/>
      <c r="AC198" s="1235"/>
      <c r="AD198" s="1235"/>
      <c r="AE198" s="1235"/>
      <c r="AF198" s="1235"/>
      <c r="AG198" s="1235"/>
      <c r="AH198" s="1235"/>
      <c r="AI198" s="1235"/>
      <c r="AJ198" s="1235"/>
    </row>
    <row r="199" spans="1:36" s="1232" customFormat="1" ht="13.5" thickTop="1">
      <c r="A199" s="1252"/>
      <c r="B199" s="1254"/>
      <c r="C199" s="1255"/>
      <c r="D199" s="1256"/>
      <c r="E199" s="1255"/>
      <c r="F199" s="1304"/>
      <c r="G199" s="1305"/>
      <c r="M199" s="1235"/>
      <c r="N199" s="1235"/>
      <c r="O199" s="1235"/>
      <c r="P199" s="1235"/>
      <c r="Q199" s="1235"/>
      <c r="R199" s="1235"/>
      <c r="S199" s="1235"/>
      <c r="T199" s="1235"/>
      <c r="U199" s="1235"/>
      <c r="V199" s="1235"/>
      <c r="W199" s="1235"/>
      <c r="X199" s="1235"/>
      <c r="Y199" s="1235"/>
      <c r="Z199" s="1235"/>
      <c r="AA199" s="1235"/>
      <c r="AB199" s="1235"/>
      <c r="AC199" s="1235"/>
      <c r="AD199" s="1235"/>
      <c r="AE199" s="1235"/>
      <c r="AF199" s="1235"/>
      <c r="AG199" s="1235"/>
      <c r="AH199" s="1235"/>
      <c r="AI199" s="1235"/>
      <c r="AJ199" s="1235"/>
    </row>
    <row r="200" spans="1:36" s="1232" customFormat="1" ht="15.75">
      <c r="A200" s="1237" t="s">
        <v>496</v>
      </c>
      <c r="B200" s="1254"/>
      <c r="C200" s="1255"/>
      <c r="D200" s="1254"/>
      <c r="E200" s="1255"/>
      <c r="F200" s="1235"/>
      <c r="G200" s="1246"/>
      <c r="M200" s="1235"/>
      <c r="N200" s="1235"/>
      <c r="O200" s="1235"/>
      <c r="P200" s="1235"/>
      <c r="Q200" s="1235"/>
      <c r="R200" s="1235"/>
      <c r="S200" s="1235"/>
      <c r="T200" s="1235"/>
      <c r="U200" s="1235"/>
      <c r="V200" s="1235"/>
      <c r="W200" s="1235"/>
      <c r="X200" s="1235"/>
      <c r="Y200" s="1235"/>
      <c r="Z200" s="1235"/>
      <c r="AA200" s="1235"/>
      <c r="AB200" s="1235"/>
      <c r="AC200" s="1235"/>
      <c r="AD200" s="1235"/>
      <c r="AE200" s="1235"/>
      <c r="AF200" s="1235"/>
      <c r="AG200" s="1235"/>
      <c r="AH200" s="1235"/>
      <c r="AI200" s="1235"/>
      <c r="AJ200" s="1235"/>
    </row>
    <row r="201" spans="1:36" s="1271" customFormat="1" ht="25.5">
      <c r="A201" s="1300"/>
      <c r="B201" s="1240" t="s">
        <v>939</v>
      </c>
      <c r="C201" s="1241" t="s">
        <v>991</v>
      </c>
      <c r="D201" s="1301" t="s">
        <v>938</v>
      </c>
      <c r="E201" s="1241" t="s">
        <v>991</v>
      </c>
      <c r="F201" s="1240" t="s">
        <v>992</v>
      </c>
      <c r="G201" s="1241" t="s">
        <v>991</v>
      </c>
      <c r="M201" s="1272"/>
      <c r="N201" s="1272"/>
      <c r="O201" s="1272"/>
      <c r="P201" s="1272"/>
      <c r="Q201" s="1272"/>
      <c r="R201" s="1272"/>
      <c r="S201" s="1272"/>
      <c r="T201" s="1272"/>
      <c r="U201" s="1272"/>
      <c r="V201" s="1272"/>
      <c r="W201" s="1272"/>
      <c r="X201" s="1272"/>
      <c r="Y201" s="1272"/>
      <c r="Z201" s="1272"/>
      <c r="AA201" s="1272"/>
      <c r="AB201" s="1272"/>
      <c r="AC201" s="1272"/>
      <c r="AD201" s="1272"/>
      <c r="AE201" s="1272"/>
      <c r="AF201" s="1272"/>
      <c r="AG201" s="1272"/>
      <c r="AH201" s="1272"/>
      <c r="AI201" s="1272"/>
      <c r="AJ201" s="1272"/>
    </row>
    <row r="202" spans="1:36" s="1232" customFormat="1">
      <c r="A202" s="1244" t="s">
        <v>80</v>
      </c>
      <c r="B202" s="1230">
        <v>152967434.25999999</v>
      </c>
      <c r="C202" s="1246">
        <v>8.1619999999999998E-2</v>
      </c>
      <c r="D202" s="1302">
        <v>1527024.38</v>
      </c>
      <c r="E202" s="1246">
        <v>2.0930000000000001E-2</v>
      </c>
      <c r="F202" s="1247">
        <v>1099</v>
      </c>
      <c r="G202" s="1246">
        <v>6.1039999999999997E-2</v>
      </c>
      <c r="M202" s="1235"/>
      <c r="N202" s="1235"/>
      <c r="O202" s="1235"/>
      <c r="P202" s="1235"/>
      <c r="Q202" s="1235"/>
      <c r="R202" s="1235"/>
      <c r="S202" s="1235"/>
      <c r="T202" s="1235"/>
      <c r="U202" s="1235"/>
      <c r="V202" s="1235"/>
      <c r="W202" s="1235"/>
      <c r="X202" s="1235"/>
      <c r="Y202" s="1235"/>
      <c r="Z202" s="1235"/>
      <c r="AA202" s="1235"/>
      <c r="AB202" s="1235"/>
      <c r="AC202" s="1235"/>
      <c r="AD202" s="1235"/>
      <c r="AE202" s="1235"/>
      <c r="AF202" s="1235"/>
      <c r="AG202" s="1235"/>
      <c r="AH202" s="1235"/>
      <c r="AI202" s="1235"/>
      <c r="AJ202" s="1235"/>
    </row>
    <row r="203" spans="1:36" s="1232" customFormat="1">
      <c r="A203" s="1244" t="s">
        <v>81</v>
      </c>
      <c r="B203" s="1230">
        <v>254847363.94</v>
      </c>
      <c r="C203" s="1246">
        <v>0.13597999999999999</v>
      </c>
      <c r="D203" s="1302">
        <v>4826314.46</v>
      </c>
      <c r="E203" s="1246">
        <v>6.6159999999999997E-2</v>
      </c>
      <c r="F203" s="1247">
        <v>2268</v>
      </c>
      <c r="G203" s="1246">
        <v>0.12595999999999999</v>
      </c>
      <c r="M203" s="1235"/>
      <c r="N203" s="1235"/>
      <c r="O203" s="1235"/>
      <c r="P203" s="1235"/>
      <c r="Q203" s="1235"/>
      <c r="R203" s="1235"/>
      <c r="S203" s="1235"/>
      <c r="T203" s="1235"/>
      <c r="U203" s="1235"/>
      <c r="V203" s="1235"/>
      <c r="W203" s="1235"/>
      <c r="X203" s="1235"/>
      <c r="Y203" s="1235"/>
      <c r="Z203" s="1235"/>
      <c r="AA203" s="1235"/>
      <c r="AB203" s="1235"/>
      <c r="AC203" s="1235"/>
      <c r="AD203" s="1235"/>
      <c r="AE203" s="1235"/>
      <c r="AF203" s="1235"/>
      <c r="AG203" s="1235"/>
      <c r="AH203" s="1235"/>
      <c r="AI203" s="1235"/>
      <c r="AJ203" s="1235"/>
    </row>
    <row r="204" spans="1:36" s="1232" customFormat="1">
      <c r="A204" s="1244" t="s">
        <v>601</v>
      </c>
      <c r="B204" s="1230">
        <v>710659071.28999996</v>
      </c>
      <c r="C204" s="1246">
        <v>0.37919000000000003</v>
      </c>
      <c r="D204" s="1302">
        <v>34452922.509999998</v>
      </c>
      <c r="E204" s="1246">
        <v>0.4723</v>
      </c>
      <c r="F204" s="1247">
        <v>6983</v>
      </c>
      <c r="G204" s="1246">
        <v>0.38782</v>
      </c>
      <c r="M204" s="1235"/>
      <c r="N204" s="1235"/>
      <c r="O204" s="1235"/>
      <c r="P204" s="1235"/>
      <c r="Q204" s="1235"/>
      <c r="R204" s="1235"/>
      <c r="S204" s="1235"/>
      <c r="T204" s="1235"/>
      <c r="U204" s="1235"/>
      <c r="V204" s="1235"/>
      <c r="W204" s="1235"/>
      <c r="X204" s="1235"/>
      <c r="Y204" s="1235"/>
      <c r="Z204" s="1235"/>
      <c r="AA204" s="1235"/>
      <c r="AB204" s="1235"/>
      <c r="AC204" s="1235"/>
      <c r="AD204" s="1235"/>
      <c r="AE204" s="1235"/>
      <c r="AF204" s="1235"/>
      <c r="AG204" s="1235"/>
      <c r="AH204" s="1235"/>
      <c r="AI204" s="1235"/>
      <c r="AJ204" s="1235"/>
    </row>
    <row r="205" spans="1:36" s="1232" customFormat="1">
      <c r="A205" s="1244" t="s">
        <v>602</v>
      </c>
      <c r="B205" s="1230">
        <v>696804675.53999996</v>
      </c>
      <c r="C205" s="1246">
        <v>0.37180000000000002</v>
      </c>
      <c r="D205" s="1302">
        <v>29793798.489999998</v>
      </c>
      <c r="E205" s="1246">
        <v>0.40843000000000002</v>
      </c>
      <c r="F205" s="1247">
        <v>6919</v>
      </c>
      <c r="G205" s="1246">
        <v>0.38425999999999999</v>
      </c>
      <c r="M205" s="1235"/>
      <c r="N205" s="1235"/>
      <c r="O205" s="1235"/>
      <c r="P205" s="1235"/>
      <c r="Q205" s="1235"/>
      <c r="R205" s="1235"/>
      <c r="S205" s="1235"/>
      <c r="T205" s="1235"/>
      <c r="U205" s="1235"/>
      <c r="V205" s="1235"/>
      <c r="W205" s="1235"/>
      <c r="X205" s="1235"/>
      <c r="Y205" s="1235"/>
      <c r="Z205" s="1235"/>
      <c r="AA205" s="1235"/>
      <c r="AB205" s="1235"/>
      <c r="AC205" s="1235"/>
      <c r="AD205" s="1235"/>
      <c r="AE205" s="1235"/>
      <c r="AF205" s="1235"/>
      <c r="AG205" s="1235"/>
      <c r="AH205" s="1235"/>
      <c r="AI205" s="1235"/>
      <c r="AJ205" s="1235"/>
    </row>
    <row r="206" spans="1:36" s="1232" customFormat="1">
      <c r="A206" s="1244" t="s">
        <v>603</v>
      </c>
      <c r="B206" s="1230">
        <v>58365121.43</v>
      </c>
      <c r="C206" s="1246">
        <v>3.1140000000000001E-2</v>
      </c>
      <c r="D206" s="1302">
        <v>2311353.65</v>
      </c>
      <c r="E206" s="1246">
        <v>3.1690000000000003E-2</v>
      </c>
      <c r="F206" s="1247">
        <v>725</v>
      </c>
      <c r="G206" s="1246">
        <v>4.0259999999999997E-2</v>
      </c>
      <c r="M206" s="1235"/>
      <c r="N206" s="1235"/>
      <c r="O206" s="1235"/>
      <c r="P206" s="1235"/>
      <c r="Q206" s="1235"/>
      <c r="R206" s="1235"/>
      <c r="S206" s="1235"/>
      <c r="T206" s="1235"/>
      <c r="U206" s="1235"/>
      <c r="V206" s="1235"/>
      <c r="W206" s="1235"/>
      <c r="X206" s="1235"/>
      <c r="Y206" s="1235"/>
      <c r="Z206" s="1235"/>
      <c r="AA206" s="1235"/>
      <c r="AB206" s="1235"/>
      <c r="AC206" s="1235"/>
      <c r="AD206" s="1235"/>
      <c r="AE206" s="1235"/>
      <c r="AF206" s="1235"/>
      <c r="AG206" s="1235"/>
      <c r="AH206" s="1235"/>
      <c r="AI206" s="1235"/>
      <c r="AJ206" s="1235"/>
    </row>
    <row r="207" spans="1:36" s="1232" customFormat="1">
      <c r="A207" s="1244" t="s">
        <v>840</v>
      </c>
      <c r="B207" s="1230">
        <v>509968.68</v>
      </c>
      <c r="C207" s="1246">
        <v>2.7E-4</v>
      </c>
      <c r="D207" s="1302">
        <v>35582.76</v>
      </c>
      <c r="E207" s="1246">
        <v>4.8999999999999998E-4</v>
      </c>
      <c r="F207" s="1247">
        <v>12</v>
      </c>
      <c r="G207" s="1246">
        <v>6.7000000000000002E-4</v>
      </c>
      <c r="M207" s="1235"/>
      <c r="N207" s="1235"/>
      <c r="O207" s="1235"/>
      <c r="P207" s="1235"/>
      <c r="Q207" s="1235"/>
      <c r="R207" s="1235"/>
      <c r="S207" s="1235"/>
      <c r="T207" s="1235"/>
      <c r="U207" s="1235"/>
      <c r="V207" s="1235"/>
      <c r="W207" s="1235"/>
      <c r="X207" s="1235"/>
      <c r="Y207" s="1235"/>
      <c r="Z207" s="1235"/>
      <c r="AA207" s="1235"/>
      <c r="AB207" s="1235"/>
      <c r="AC207" s="1235"/>
      <c r="AD207" s="1235"/>
      <c r="AE207" s="1235"/>
      <c r="AF207" s="1235"/>
      <c r="AG207" s="1235"/>
      <c r="AH207" s="1235"/>
      <c r="AI207" s="1235"/>
      <c r="AJ207" s="1235"/>
    </row>
    <row r="208" spans="1:36" s="1232" customFormat="1" ht="13.5" thickBot="1">
      <c r="A208" s="1252" t="s">
        <v>814</v>
      </c>
      <c r="B208" s="1253">
        <v>1874153635.1400001</v>
      </c>
      <c r="C208" s="1250">
        <v>1</v>
      </c>
      <c r="D208" s="1303">
        <v>72946996.25</v>
      </c>
      <c r="E208" s="1250">
        <v>1.0000000000000002</v>
      </c>
      <c r="F208" s="1251">
        <v>18006</v>
      </c>
      <c r="G208" s="1250">
        <v>1.0000099999999998</v>
      </c>
      <c r="M208" s="1235"/>
      <c r="N208" s="1235"/>
      <c r="O208" s="1235"/>
      <c r="P208" s="1235"/>
      <c r="Q208" s="1235"/>
      <c r="R208" s="1235"/>
      <c r="S208" s="1235"/>
      <c r="T208" s="1235"/>
      <c r="U208" s="1235"/>
      <c r="V208" s="1235"/>
      <c r="W208" s="1235"/>
      <c r="X208" s="1235"/>
      <c r="Y208" s="1235"/>
      <c r="Z208" s="1235"/>
      <c r="AA208" s="1235"/>
      <c r="AB208" s="1235"/>
      <c r="AC208" s="1235"/>
      <c r="AD208" s="1235"/>
      <c r="AE208" s="1235"/>
      <c r="AF208" s="1235"/>
      <c r="AG208" s="1235"/>
      <c r="AH208" s="1235"/>
      <c r="AI208" s="1235"/>
      <c r="AJ208" s="1235"/>
    </row>
    <row r="209" spans="1:38" s="1232" customFormat="1" ht="13.5" thickTop="1">
      <c r="A209" s="1289"/>
      <c r="B209" s="1254"/>
      <c r="C209" s="1255"/>
      <c r="D209" s="1254"/>
      <c r="E209" s="1255"/>
      <c r="F209" s="1235"/>
      <c r="H209" s="1269"/>
      <c r="I209" s="1269"/>
      <c r="M209" s="1235"/>
      <c r="N209" s="1235"/>
      <c r="O209" s="1235"/>
      <c r="P209" s="1235"/>
      <c r="Q209" s="1235"/>
      <c r="R209" s="1235"/>
      <c r="S209" s="1235"/>
      <c r="T209" s="1235"/>
      <c r="U209" s="1235"/>
      <c r="V209" s="1235"/>
      <c r="W209" s="1235"/>
      <c r="X209" s="1235"/>
      <c r="Y209" s="1235"/>
      <c r="Z209" s="1235"/>
      <c r="AA209" s="1235"/>
      <c r="AB209" s="1235"/>
      <c r="AC209" s="1235"/>
      <c r="AD209" s="1235"/>
      <c r="AE209" s="1235"/>
      <c r="AF209" s="1235"/>
      <c r="AG209" s="1235"/>
      <c r="AH209" s="1235"/>
      <c r="AI209" s="1235"/>
      <c r="AJ209" s="1235"/>
    </row>
    <row r="210" spans="1:38" s="1232" customFormat="1">
      <c r="A210" s="1289"/>
      <c r="B210" s="1235"/>
      <c r="C210" s="1235"/>
      <c r="D210" s="1298"/>
      <c r="E210" s="1235"/>
      <c r="F210" s="1235"/>
      <c r="M210" s="1235"/>
      <c r="N210" s="1235"/>
      <c r="O210" s="1235"/>
      <c r="P210" s="1235"/>
      <c r="Q210" s="1235"/>
      <c r="R210" s="1235"/>
      <c r="S210" s="1235"/>
      <c r="T210" s="1235"/>
      <c r="U210" s="1235"/>
      <c r="V210" s="1235"/>
      <c r="W210" s="1235"/>
      <c r="X210" s="1235"/>
      <c r="Y210" s="1235"/>
      <c r="Z210" s="1235"/>
      <c r="AA210" s="1235"/>
      <c r="AB210" s="1235"/>
      <c r="AC210" s="1235"/>
      <c r="AD210" s="1235"/>
      <c r="AE210" s="1235"/>
      <c r="AF210" s="1235"/>
      <c r="AG210" s="1235"/>
      <c r="AH210" s="1235"/>
      <c r="AI210" s="1235"/>
      <c r="AJ210" s="1235"/>
    </row>
    <row r="211" spans="1:38" s="1232" customFormat="1" ht="15.75">
      <c r="A211" s="1237" t="s">
        <v>1012</v>
      </c>
      <c r="B211" s="1230"/>
      <c r="C211" s="1231"/>
      <c r="D211" s="1230"/>
      <c r="E211" s="1231"/>
      <c r="F211" s="1269"/>
      <c r="G211" s="1246"/>
      <c r="H211" s="1234"/>
      <c r="I211" s="1234"/>
      <c r="M211" s="1235"/>
      <c r="N211" s="1235"/>
      <c r="O211" s="1235"/>
      <c r="P211" s="1235"/>
      <c r="Q211" s="1235"/>
      <c r="R211" s="1235"/>
      <c r="S211" s="1235"/>
      <c r="T211" s="1235"/>
      <c r="U211" s="1235"/>
      <c r="V211" s="1235"/>
      <c r="W211" s="1235"/>
      <c r="X211" s="1235"/>
      <c r="Y211" s="1235"/>
      <c r="Z211" s="1235"/>
      <c r="AA211" s="1235"/>
      <c r="AB211" s="1235"/>
      <c r="AC211" s="1235"/>
      <c r="AD211" s="1235"/>
      <c r="AE211" s="1235"/>
      <c r="AF211" s="1235"/>
      <c r="AG211" s="1235"/>
      <c r="AH211" s="1235"/>
      <c r="AI211" s="1235"/>
      <c r="AJ211" s="1235"/>
    </row>
    <row r="212" spans="1:38" s="1232" customFormat="1" ht="25.5">
      <c r="A212" s="1306" t="s">
        <v>719</v>
      </c>
      <c r="B212" s="1240" t="s">
        <v>880</v>
      </c>
      <c r="C212" s="1241" t="s">
        <v>881</v>
      </c>
      <c r="D212" s="1241" t="s">
        <v>744</v>
      </c>
      <c r="E212" s="1241" t="s">
        <v>745</v>
      </c>
      <c r="F212" s="1240" t="s">
        <v>86</v>
      </c>
      <c r="G212" s="1241" t="s">
        <v>743</v>
      </c>
      <c r="H212" s="1269"/>
      <c r="I212" s="1269"/>
      <c r="J212" s="1269"/>
      <c r="K212" s="1269"/>
      <c r="O212" s="1235"/>
      <c r="P212" s="1235"/>
      <c r="Q212" s="1235"/>
      <c r="R212" s="1235"/>
      <c r="S212" s="1235"/>
      <c r="T212" s="1235"/>
      <c r="U212" s="1235"/>
      <c r="V212" s="1235"/>
      <c r="W212" s="1235"/>
      <c r="X212" s="1235"/>
      <c r="Y212" s="1235"/>
      <c r="Z212" s="1235"/>
      <c r="AA212" s="1235"/>
      <c r="AB212" s="1235"/>
      <c r="AC212" s="1235"/>
      <c r="AD212" s="1235"/>
      <c r="AE212" s="1235"/>
      <c r="AF212" s="1235"/>
      <c r="AG212" s="1235"/>
      <c r="AH212" s="1235"/>
      <c r="AI212" s="1235"/>
      <c r="AJ212" s="1235"/>
      <c r="AK212" s="1235"/>
      <c r="AL212" s="1235"/>
    </row>
    <row r="213" spans="1:38" s="1232" customFormat="1">
      <c r="A213" s="1230" t="s">
        <v>1013</v>
      </c>
      <c r="B213" s="1230">
        <v>86426.59</v>
      </c>
      <c r="C213" s="1262">
        <v>1.0000000000000001E-5</v>
      </c>
      <c r="D213" s="1307">
        <v>0</v>
      </c>
      <c r="E213" s="1308">
        <v>86426.59</v>
      </c>
      <c r="F213" s="1247">
        <v>1</v>
      </c>
      <c r="G213" s="1262">
        <v>1.0000000000000001E-5</v>
      </c>
      <c r="O213" s="1235"/>
      <c r="P213" s="1235"/>
      <c r="Q213" s="1235"/>
      <c r="R213" s="1235"/>
      <c r="S213" s="1235"/>
      <c r="T213" s="1235"/>
      <c r="U213" s="1235"/>
      <c r="V213" s="1235"/>
      <c r="W213" s="1235"/>
      <c r="X213" s="1235"/>
      <c r="Y213" s="1235"/>
      <c r="Z213" s="1235"/>
      <c r="AA213" s="1235"/>
      <c r="AB213" s="1235"/>
      <c r="AC213" s="1235"/>
      <c r="AD213" s="1235"/>
      <c r="AE213" s="1235"/>
      <c r="AF213" s="1235"/>
      <c r="AG213" s="1235"/>
      <c r="AH213" s="1235"/>
      <c r="AI213" s="1235"/>
      <c r="AJ213" s="1235"/>
      <c r="AK213" s="1235"/>
      <c r="AL213" s="1235"/>
    </row>
    <row r="214" spans="1:38" s="1232" customFormat="1">
      <c r="A214" s="1230" t="s">
        <v>1014</v>
      </c>
      <c r="B214" s="1230">
        <v>1035345.82</v>
      </c>
      <c r="C214" s="1262">
        <v>1E-4</v>
      </c>
      <c r="D214" s="1308">
        <v>147637.74</v>
      </c>
      <c r="E214" s="1308">
        <v>887708.08</v>
      </c>
      <c r="F214" s="1247">
        <v>15</v>
      </c>
      <c r="G214" s="1262">
        <v>1.6000000000000001E-4</v>
      </c>
      <c r="O214" s="1235"/>
      <c r="P214" s="1235"/>
      <c r="Q214" s="1235"/>
      <c r="R214" s="1235"/>
      <c r="S214" s="1235"/>
      <c r="T214" s="1235"/>
      <c r="U214" s="1235"/>
      <c r="V214" s="1235"/>
      <c r="W214" s="1235"/>
      <c r="X214" s="1235"/>
      <c r="Y214" s="1235"/>
      <c r="Z214" s="1235"/>
      <c r="AA214" s="1235"/>
      <c r="AB214" s="1235"/>
      <c r="AC214" s="1235"/>
      <c r="AD214" s="1235"/>
      <c r="AE214" s="1235"/>
      <c r="AF214" s="1235"/>
      <c r="AG214" s="1235"/>
      <c r="AH214" s="1235"/>
      <c r="AI214" s="1235"/>
      <c r="AJ214" s="1235"/>
      <c r="AK214" s="1235"/>
      <c r="AL214" s="1235"/>
    </row>
    <row r="215" spans="1:38" s="1232" customFormat="1">
      <c r="A215" s="1230" t="s">
        <v>1015</v>
      </c>
      <c r="B215" s="1230">
        <v>9832598.6699999999</v>
      </c>
      <c r="C215" s="1262">
        <v>1E-3</v>
      </c>
      <c r="D215" s="1308">
        <v>456387.29</v>
      </c>
      <c r="E215" s="1308">
        <v>9376211.3800000008</v>
      </c>
      <c r="F215" s="1247">
        <v>108</v>
      </c>
      <c r="G215" s="1262">
        <v>1.1299999999999999E-3</v>
      </c>
      <c r="O215" s="1235"/>
      <c r="P215" s="1235"/>
      <c r="Q215" s="1235"/>
      <c r="R215" s="1235"/>
      <c r="S215" s="1235"/>
      <c r="T215" s="1235"/>
      <c r="U215" s="1235"/>
      <c r="V215" s="1235"/>
      <c r="W215" s="1235"/>
      <c r="X215" s="1235"/>
      <c r="Y215" s="1235"/>
      <c r="Z215" s="1235"/>
      <c r="AA215" s="1235"/>
      <c r="AB215" s="1235"/>
      <c r="AC215" s="1235"/>
      <c r="AD215" s="1235"/>
      <c r="AE215" s="1235"/>
      <c r="AF215" s="1235"/>
      <c r="AG215" s="1235"/>
      <c r="AH215" s="1235"/>
      <c r="AI215" s="1235"/>
      <c r="AJ215" s="1235"/>
      <c r="AK215" s="1235"/>
      <c r="AL215" s="1235"/>
    </row>
    <row r="216" spans="1:38" s="1232" customFormat="1">
      <c r="A216" s="1230" t="s">
        <v>1016</v>
      </c>
      <c r="B216" s="1230">
        <v>73120932.819999993</v>
      </c>
      <c r="C216" s="1262">
        <v>7.4000000000000003E-3</v>
      </c>
      <c r="D216" s="1308">
        <v>7285383.5599999996</v>
      </c>
      <c r="E216" s="1308">
        <v>65835549.259999998</v>
      </c>
      <c r="F216" s="1247">
        <v>1268</v>
      </c>
      <c r="G216" s="1262">
        <v>1.3299999999999999E-2</v>
      </c>
      <c r="O216" s="1235"/>
      <c r="P216" s="1235"/>
      <c r="Q216" s="1235"/>
      <c r="R216" s="1235"/>
      <c r="S216" s="1235"/>
      <c r="T216" s="1235"/>
      <c r="U216" s="1235"/>
      <c r="V216" s="1235"/>
      <c r="W216" s="1235"/>
      <c r="X216" s="1235"/>
      <c r="Y216" s="1235"/>
      <c r="Z216" s="1235"/>
      <c r="AA216" s="1235"/>
      <c r="AB216" s="1235"/>
      <c r="AC216" s="1235"/>
      <c r="AD216" s="1235"/>
      <c r="AE216" s="1235"/>
      <c r="AF216" s="1235"/>
      <c r="AG216" s="1235"/>
      <c r="AH216" s="1235"/>
      <c r="AI216" s="1235"/>
      <c r="AJ216" s="1235"/>
      <c r="AK216" s="1235"/>
      <c r="AL216" s="1235"/>
    </row>
    <row r="217" spans="1:38" s="1232" customFormat="1">
      <c r="A217" s="1230" t="s">
        <v>1017</v>
      </c>
      <c r="B217" s="1230">
        <v>90635854.290000007</v>
      </c>
      <c r="C217" s="1262">
        <v>9.1699999999999993E-3</v>
      </c>
      <c r="D217" s="1308">
        <v>15940510.939999999</v>
      </c>
      <c r="E217" s="1308">
        <v>74695343.349999994</v>
      </c>
      <c r="F217" s="1247">
        <v>1541</v>
      </c>
      <c r="G217" s="1262">
        <v>1.6160000000000001E-2</v>
      </c>
      <c r="O217" s="1235"/>
      <c r="P217" s="1235"/>
      <c r="Q217" s="1235"/>
      <c r="R217" s="1235"/>
      <c r="S217" s="1235"/>
      <c r="T217" s="1235"/>
      <c r="U217" s="1235"/>
      <c r="V217" s="1235"/>
      <c r="W217" s="1235"/>
      <c r="X217" s="1235"/>
      <c r="Y217" s="1235"/>
      <c r="Z217" s="1235"/>
      <c r="AA217" s="1235"/>
      <c r="AB217" s="1235"/>
      <c r="AC217" s="1235"/>
      <c r="AD217" s="1235"/>
      <c r="AE217" s="1235"/>
      <c r="AF217" s="1235"/>
      <c r="AG217" s="1235"/>
      <c r="AH217" s="1235"/>
      <c r="AI217" s="1235"/>
      <c r="AJ217" s="1235"/>
      <c r="AK217" s="1235"/>
      <c r="AL217" s="1235"/>
    </row>
    <row r="218" spans="1:38" s="1232" customFormat="1">
      <c r="A218" s="1230" t="s">
        <v>1018</v>
      </c>
      <c r="B218" s="1230">
        <v>109967438.84</v>
      </c>
      <c r="C218" s="1262">
        <v>1.1129999999999999E-2</v>
      </c>
      <c r="D218" s="1308">
        <v>23734025.760000002</v>
      </c>
      <c r="E218" s="1308">
        <v>86233413.079999998</v>
      </c>
      <c r="F218" s="1247">
        <v>1797</v>
      </c>
      <c r="G218" s="1262">
        <v>1.8839999999999999E-2</v>
      </c>
      <c r="O218" s="1235"/>
      <c r="P218" s="1235"/>
      <c r="Q218" s="1235"/>
      <c r="R218" s="1235"/>
      <c r="S218" s="1235"/>
      <c r="T218" s="1235"/>
      <c r="U218" s="1235"/>
      <c r="V218" s="1235"/>
      <c r="W218" s="1235"/>
      <c r="X218" s="1235"/>
      <c r="Y218" s="1235"/>
      <c r="Z218" s="1235"/>
      <c r="AA218" s="1235"/>
      <c r="AB218" s="1235"/>
      <c r="AC218" s="1235"/>
      <c r="AD218" s="1235"/>
      <c r="AE218" s="1235"/>
      <c r="AF218" s="1235"/>
      <c r="AG218" s="1235"/>
      <c r="AH218" s="1235"/>
      <c r="AI218" s="1235"/>
      <c r="AJ218" s="1235"/>
      <c r="AK218" s="1235"/>
      <c r="AL218" s="1235"/>
    </row>
    <row r="219" spans="1:38" s="1232" customFormat="1">
      <c r="A219" s="1230" t="s">
        <v>1019</v>
      </c>
      <c r="B219" s="1230">
        <v>199040367.50999999</v>
      </c>
      <c r="C219" s="1262">
        <v>2.0140000000000002E-2</v>
      </c>
      <c r="D219" s="1308">
        <v>52736017.350000001</v>
      </c>
      <c r="E219" s="1308">
        <v>146304350.16</v>
      </c>
      <c r="F219" s="1247">
        <v>2998</v>
      </c>
      <c r="G219" s="1262">
        <v>3.1440000000000003E-2</v>
      </c>
      <c r="O219" s="1235"/>
      <c r="P219" s="1235"/>
      <c r="Q219" s="1235"/>
      <c r="R219" s="1235"/>
      <c r="S219" s="1235"/>
      <c r="T219" s="1235"/>
      <c r="U219" s="1235"/>
      <c r="V219" s="1235"/>
      <c r="W219" s="1235"/>
      <c r="X219" s="1235"/>
      <c r="Y219" s="1235"/>
      <c r="Z219" s="1235"/>
      <c r="AA219" s="1235"/>
      <c r="AB219" s="1235"/>
      <c r="AC219" s="1235"/>
      <c r="AD219" s="1235"/>
      <c r="AE219" s="1235"/>
      <c r="AF219" s="1235"/>
      <c r="AG219" s="1235"/>
      <c r="AH219" s="1235"/>
      <c r="AI219" s="1235"/>
      <c r="AJ219" s="1235"/>
      <c r="AK219" s="1235"/>
      <c r="AL219" s="1235"/>
    </row>
    <row r="220" spans="1:38" s="1232" customFormat="1">
      <c r="A220" s="1230" t="s">
        <v>1020</v>
      </c>
      <c r="B220" s="1230">
        <v>257178751.41</v>
      </c>
      <c r="C220" s="1262">
        <v>2.6030000000000001E-2</v>
      </c>
      <c r="D220" s="1308">
        <v>73730645.060000002</v>
      </c>
      <c r="E220" s="1308">
        <v>183448106.34999999</v>
      </c>
      <c r="F220" s="1247">
        <v>3482</v>
      </c>
      <c r="G220" s="1262">
        <v>3.6510000000000001E-2</v>
      </c>
      <c r="O220" s="1235"/>
      <c r="P220" s="1235"/>
      <c r="Q220" s="1235"/>
      <c r="R220" s="1235"/>
      <c r="S220" s="1235"/>
      <c r="T220" s="1235"/>
      <c r="U220" s="1235"/>
      <c r="V220" s="1235"/>
      <c r="W220" s="1235"/>
      <c r="X220" s="1235"/>
      <c r="Y220" s="1235"/>
      <c r="Z220" s="1235"/>
      <c r="AA220" s="1235"/>
      <c r="AB220" s="1235"/>
      <c r="AC220" s="1235"/>
      <c r="AD220" s="1235"/>
      <c r="AE220" s="1235"/>
      <c r="AF220" s="1235"/>
      <c r="AG220" s="1235"/>
      <c r="AH220" s="1235"/>
      <c r="AI220" s="1235"/>
      <c r="AJ220" s="1235"/>
      <c r="AK220" s="1235"/>
      <c r="AL220" s="1235"/>
    </row>
    <row r="221" spans="1:38" s="1232" customFormat="1">
      <c r="A221" s="1230" t="s">
        <v>1021</v>
      </c>
      <c r="B221" s="1230">
        <v>257206195.21000001</v>
      </c>
      <c r="C221" s="1262">
        <v>2.6030000000000001E-2</v>
      </c>
      <c r="D221" s="1308">
        <v>82852356.030000001</v>
      </c>
      <c r="E221" s="1308">
        <v>174353839.18000001</v>
      </c>
      <c r="F221" s="1247">
        <v>3328</v>
      </c>
      <c r="G221" s="1262">
        <v>3.49E-2</v>
      </c>
      <c r="O221" s="1235"/>
      <c r="P221" s="1235"/>
      <c r="Q221" s="1235"/>
      <c r="R221" s="1235"/>
      <c r="S221" s="1235"/>
      <c r="T221" s="1235"/>
      <c r="U221" s="1235"/>
      <c r="V221" s="1235"/>
      <c r="W221" s="1235"/>
      <c r="X221" s="1235"/>
      <c r="Y221" s="1235"/>
      <c r="Z221" s="1235"/>
      <c r="AA221" s="1235"/>
      <c r="AB221" s="1235"/>
      <c r="AC221" s="1235"/>
      <c r="AD221" s="1235"/>
      <c r="AE221" s="1235"/>
      <c r="AF221" s="1235"/>
      <c r="AG221" s="1235"/>
      <c r="AH221" s="1235"/>
      <c r="AI221" s="1235"/>
      <c r="AJ221" s="1235"/>
      <c r="AK221" s="1235"/>
      <c r="AL221" s="1235"/>
    </row>
    <row r="222" spans="1:38" s="1232" customFormat="1">
      <c r="A222" s="1230" t="s">
        <v>790</v>
      </c>
      <c r="B222" s="1230">
        <v>229822375.53999999</v>
      </c>
      <c r="C222" s="1262">
        <v>2.3259999999999999E-2</v>
      </c>
      <c r="D222" s="1308">
        <v>101325463.44</v>
      </c>
      <c r="E222" s="1308">
        <v>128496912.09999999</v>
      </c>
      <c r="F222" s="1247">
        <v>2970</v>
      </c>
      <c r="G222" s="1262">
        <v>3.1140000000000001E-2</v>
      </c>
      <c r="O222" s="1235"/>
      <c r="P222" s="1235"/>
      <c r="Q222" s="1235"/>
      <c r="R222" s="1235"/>
      <c r="S222" s="1235"/>
      <c r="T222" s="1235"/>
      <c r="U222" s="1235"/>
      <c r="V222" s="1235"/>
      <c r="W222" s="1235"/>
      <c r="X222" s="1235"/>
      <c r="Y222" s="1235"/>
      <c r="Z222" s="1235"/>
      <c r="AA222" s="1235"/>
      <c r="AB222" s="1235"/>
      <c r="AC222" s="1235"/>
      <c r="AD222" s="1235"/>
      <c r="AE222" s="1235"/>
      <c r="AF222" s="1235"/>
      <c r="AG222" s="1235"/>
      <c r="AH222" s="1235"/>
      <c r="AI222" s="1235"/>
      <c r="AJ222" s="1235"/>
      <c r="AK222" s="1235"/>
      <c r="AL222" s="1235"/>
    </row>
    <row r="223" spans="1:38" s="1232" customFormat="1">
      <c r="A223" s="1230" t="s">
        <v>791</v>
      </c>
      <c r="B223" s="1230">
        <v>244240707.94</v>
      </c>
      <c r="C223" s="1262">
        <v>2.4719999999999999E-2</v>
      </c>
      <c r="D223" s="1308">
        <v>112556969.45999999</v>
      </c>
      <c r="E223" s="1308">
        <v>131683738.48</v>
      </c>
      <c r="F223" s="1247">
        <v>3064</v>
      </c>
      <c r="G223" s="1262">
        <v>3.2129999999999999E-2</v>
      </c>
      <c r="O223" s="1235"/>
      <c r="P223" s="1235"/>
      <c r="Q223" s="1235"/>
      <c r="R223" s="1235"/>
      <c r="S223" s="1235"/>
      <c r="T223" s="1235"/>
      <c r="U223" s="1235"/>
      <c r="V223" s="1235"/>
      <c r="W223" s="1235"/>
      <c r="X223" s="1235"/>
      <c r="Y223" s="1235"/>
      <c r="Z223" s="1235"/>
      <c r="AA223" s="1235"/>
      <c r="AB223" s="1235"/>
      <c r="AC223" s="1235"/>
      <c r="AD223" s="1235"/>
      <c r="AE223" s="1235"/>
      <c r="AF223" s="1235"/>
      <c r="AG223" s="1235"/>
      <c r="AH223" s="1235"/>
      <c r="AI223" s="1235"/>
      <c r="AJ223" s="1235"/>
      <c r="AK223" s="1235"/>
      <c r="AL223" s="1235"/>
    </row>
    <row r="224" spans="1:38" s="1232" customFormat="1">
      <c r="A224" s="1230" t="s">
        <v>792</v>
      </c>
      <c r="B224" s="1230">
        <v>352160952.75</v>
      </c>
      <c r="C224" s="1262">
        <v>3.5639999999999998E-2</v>
      </c>
      <c r="D224" s="1308">
        <v>174318491.58000001</v>
      </c>
      <c r="E224" s="1308">
        <v>177842461.16999999</v>
      </c>
      <c r="F224" s="1247">
        <v>4201</v>
      </c>
      <c r="G224" s="1262">
        <v>4.4049999999999999E-2</v>
      </c>
      <c r="O224" s="1235"/>
      <c r="P224" s="1235"/>
      <c r="Q224" s="1235"/>
      <c r="R224" s="1235"/>
      <c r="S224" s="1235"/>
      <c r="T224" s="1235"/>
      <c r="U224" s="1235"/>
      <c r="V224" s="1235"/>
      <c r="W224" s="1235"/>
      <c r="X224" s="1235"/>
      <c r="Y224" s="1235"/>
      <c r="Z224" s="1235"/>
      <c r="AA224" s="1235"/>
      <c r="AB224" s="1235"/>
      <c r="AC224" s="1235"/>
      <c r="AD224" s="1235"/>
      <c r="AE224" s="1235"/>
      <c r="AF224" s="1235"/>
      <c r="AG224" s="1235"/>
      <c r="AH224" s="1235"/>
      <c r="AI224" s="1235"/>
      <c r="AJ224" s="1235"/>
      <c r="AK224" s="1235"/>
      <c r="AL224" s="1235"/>
    </row>
    <row r="225" spans="1:38" s="1232" customFormat="1">
      <c r="A225" s="1230" t="s">
        <v>793</v>
      </c>
      <c r="B225" s="1230">
        <v>400212142.49000001</v>
      </c>
      <c r="C225" s="1262">
        <v>4.0509999999999997E-2</v>
      </c>
      <c r="D225" s="1308">
        <v>203449298.44999999</v>
      </c>
      <c r="E225" s="1308">
        <v>196762844.03999999</v>
      </c>
      <c r="F225" s="1247">
        <v>4506</v>
      </c>
      <c r="G225" s="1262">
        <v>4.725E-2</v>
      </c>
      <c r="O225" s="1235"/>
      <c r="P225" s="1235"/>
      <c r="Q225" s="1235"/>
      <c r="R225" s="1235"/>
      <c r="S225" s="1235"/>
      <c r="T225" s="1235"/>
      <c r="U225" s="1235"/>
      <c r="V225" s="1235"/>
      <c r="W225" s="1235"/>
      <c r="X225" s="1235"/>
      <c r="Y225" s="1235"/>
      <c r="Z225" s="1235"/>
      <c r="AA225" s="1235"/>
      <c r="AB225" s="1235"/>
      <c r="AC225" s="1235"/>
      <c r="AD225" s="1235"/>
      <c r="AE225" s="1235"/>
      <c r="AF225" s="1235"/>
      <c r="AG225" s="1235"/>
      <c r="AH225" s="1235"/>
      <c r="AI225" s="1235"/>
      <c r="AJ225" s="1235"/>
      <c r="AK225" s="1235"/>
      <c r="AL225" s="1235"/>
    </row>
    <row r="226" spans="1:38" s="1232" customFormat="1">
      <c r="A226" s="1230" t="s">
        <v>249</v>
      </c>
      <c r="B226" s="1230">
        <v>406985112.47000003</v>
      </c>
      <c r="C226" s="1262">
        <v>4.1189999999999997E-2</v>
      </c>
      <c r="D226" s="1308">
        <v>210333710.97999999</v>
      </c>
      <c r="E226" s="1308">
        <v>196651401.49000001</v>
      </c>
      <c r="F226" s="1247">
        <v>4235</v>
      </c>
      <c r="G226" s="1262">
        <v>4.4409999999999998E-2</v>
      </c>
      <c r="O226" s="1235"/>
      <c r="P226" s="1235"/>
      <c r="Q226" s="1235"/>
      <c r="R226" s="1235"/>
      <c r="S226" s="1235"/>
      <c r="T226" s="1235"/>
      <c r="U226" s="1235"/>
      <c r="V226" s="1235"/>
      <c r="W226" s="1235"/>
      <c r="X226" s="1235"/>
      <c r="Y226" s="1235"/>
      <c r="Z226" s="1235"/>
      <c r="AA226" s="1235"/>
      <c r="AB226" s="1235"/>
      <c r="AC226" s="1235"/>
      <c r="AD226" s="1235"/>
      <c r="AE226" s="1235"/>
      <c r="AF226" s="1235"/>
      <c r="AG226" s="1235"/>
      <c r="AH226" s="1235"/>
      <c r="AI226" s="1235"/>
      <c r="AJ226" s="1235"/>
      <c r="AK226" s="1235"/>
      <c r="AL226" s="1235"/>
    </row>
    <row r="227" spans="1:38" s="1232" customFormat="1">
      <c r="A227" s="1230" t="s">
        <v>250</v>
      </c>
      <c r="B227" s="1230">
        <v>392046197.66000003</v>
      </c>
      <c r="C227" s="1262">
        <v>3.968E-2</v>
      </c>
      <c r="D227" s="1308">
        <v>226627063.90000001</v>
      </c>
      <c r="E227" s="1308">
        <v>165419133.75999999</v>
      </c>
      <c r="F227" s="1247">
        <v>4098</v>
      </c>
      <c r="G227" s="1262">
        <v>4.2970000000000001E-2</v>
      </c>
      <c r="O227" s="1235"/>
      <c r="P227" s="1235"/>
      <c r="Q227" s="1235"/>
      <c r="R227" s="1235"/>
      <c r="S227" s="1235"/>
      <c r="T227" s="1235"/>
      <c r="U227" s="1235"/>
      <c r="V227" s="1235"/>
      <c r="W227" s="1235"/>
      <c r="X227" s="1235"/>
      <c r="Y227" s="1235"/>
      <c r="Z227" s="1235"/>
      <c r="AA227" s="1235"/>
      <c r="AB227" s="1235"/>
      <c r="AC227" s="1235"/>
      <c r="AD227" s="1235"/>
      <c r="AE227" s="1235"/>
      <c r="AF227" s="1235"/>
      <c r="AG227" s="1235"/>
      <c r="AH227" s="1235"/>
      <c r="AI227" s="1235"/>
      <c r="AJ227" s="1235"/>
      <c r="AK227" s="1235"/>
      <c r="AL227" s="1235"/>
    </row>
    <row r="228" spans="1:38" s="1232" customFormat="1">
      <c r="A228" s="1230" t="s">
        <v>251</v>
      </c>
      <c r="B228" s="1230">
        <v>436212966.31</v>
      </c>
      <c r="C228" s="1262">
        <v>4.4150000000000002E-2</v>
      </c>
      <c r="D228" s="1308">
        <v>259977475.80000001</v>
      </c>
      <c r="E228" s="1308">
        <v>176235490.50999999</v>
      </c>
      <c r="F228" s="1247">
        <v>4339</v>
      </c>
      <c r="G228" s="1262">
        <v>4.5499999999999999E-2</v>
      </c>
      <c r="O228" s="1235"/>
      <c r="P228" s="1235"/>
      <c r="Q228" s="1235"/>
      <c r="R228" s="1235"/>
      <c r="S228" s="1235"/>
      <c r="T228" s="1235"/>
      <c r="U228" s="1235"/>
      <c r="V228" s="1235"/>
      <c r="W228" s="1235"/>
      <c r="X228" s="1235"/>
      <c r="Y228" s="1235"/>
      <c r="Z228" s="1235"/>
      <c r="AA228" s="1235"/>
      <c r="AB228" s="1235"/>
      <c r="AC228" s="1235"/>
      <c r="AD228" s="1235"/>
      <c r="AE228" s="1235"/>
      <c r="AF228" s="1235"/>
      <c r="AG228" s="1235"/>
      <c r="AH228" s="1235"/>
      <c r="AI228" s="1235"/>
      <c r="AJ228" s="1235"/>
      <c r="AK228" s="1235"/>
      <c r="AL228" s="1235"/>
    </row>
    <row r="229" spans="1:38" s="1232" customFormat="1">
      <c r="A229" s="1230" t="s">
        <v>252</v>
      </c>
      <c r="B229" s="1230">
        <v>619320939.42999995</v>
      </c>
      <c r="C229" s="1262">
        <v>6.268E-2</v>
      </c>
      <c r="D229" s="1308">
        <v>376646890.41000003</v>
      </c>
      <c r="E229" s="1308">
        <v>242674049.02000001</v>
      </c>
      <c r="F229" s="1247">
        <v>5881</v>
      </c>
      <c r="G229" s="1262">
        <v>6.1670000000000003E-2</v>
      </c>
      <c r="O229" s="1235"/>
      <c r="P229" s="1235"/>
      <c r="Q229" s="1235"/>
      <c r="R229" s="1235"/>
      <c r="S229" s="1235"/>
      <c r="T229" s="1235"/>
      <c r="U229" s="1235"/>
      <c r="V229" s="1235"/>
      <c r="W229" s="1235"/>
      <c r="X229" s="1235"/>
      <c r="Y229" s="1235"/>
      <c r="Z229" s="1235"/>
      <c r="AA229" s="1235"/>
      <c r="AB229" s="1235"/>
      <c r="AC229" s="1235"/>
      <c r="AD229" s="1235"/>
      <c r="AE229" s="1235"/>
      <c r="AF229" s="1235"/>
      <c r="AG229" s="1235"/>
      <c r="AH229" s="1235"/>
      <c r="AI229" s="1235"/>
      <c r="AJ229" s="1235"/>
      <c r="AK229" s="1235"/>
      <c r="AL229" s="1235"/>
    </row>
    <row r="230" spans="1:38" s="1232" customFormat="1">
      <c r="A230" s="1230" t="s">
        <v>253</v>
      </c>
      <c r="B230" s="1230">
        <v>688850414.41999996</v>
      </c>
      <c r="C230" s="1262">
        <v>6.9720000000000004E-2</v>
      </c>
      <c r="D230" s="1308">
        <v>404397656.13999999</v>
      </c>
      <c r="E230" s="1308">
        <v>284452758.27999997</v>
      </c>
      <c r="F230" s="1247">
        <v>6211</v>
      </c>
      <c r="G230" s="1262">
        <v>6.5129999999999993E-2</v>
      </c>
      <c r="O230" s="1235"/>
      <c r="P230" s="1235"/>
      <c r="Q230" s="1235"/>
      <c r="R230" s="1235"/>
      <c r="S230" s="1235"/>
      <c r="T230" s="1235"/>
      <c r="U230" s="1235"/>
      <c r="V230" s="1235"/>
      <c r="W230" s="1235"/>
      <c r="X230" s="1235"/>
      <c r="Y230" s="1235"/>
      <c r="Z230" s="1235"/>
      <c r="AA230" s="1235"/>
      <c r="AB230" s="1235"/>
      <c r="AC230" s="1235"/>
      <c r="AD230" s="1235"/>
      <c r="AE230" s="1235"/>
      <c r="AF230" s="1235"/>
      <c r="AG230" s="1235"/>
      <c r="AH230" s="1235"/>
      <c r="AI230" s="1235"/>
      <c r="AJ230" s="1235"/>
      <c r="AK230" s="1235"/>
      <c r="AL230" s="1235"/>
    </row>
    <row r="231" spans="1:38" s="1232" customFormat="1">
      <c r="A231" s="1230" t="s">
        <v>254</v>
      </c>
      <c r="B231" s="1230">
        <v>646845069.85000002</v>
      </c>
      <c r="C231" s="1262">
        <v>6.547E-2</v>
      </c>
      <c r="D231" s="1308">
        <v>383151485.51999998</v>
      </c>
      <c r="E231" s="1308">
        <v>263693584.33000001</v>
      </c>
      <c r="F231" s="1247">
        <v>5656</v>
      </c>
      <c r="G231" s="1262">
        <v>5.9310000000000002E-2</v>
      </c>
      <c r="O231" s="1235"/>
      <c r="P231" s="1235"/>
      <c r="Q231" s="1235"/>
      <c r="R231" s="1235"/>
      <c r="S231" s="1235"/>
      <c r="T231" s="1235"/>
      <c r="U231" s="1235"/>
      <c r="V231" s="1235"/>
      <c r="W231" s="1235"/>
      <c r="X231" s="1235"/>
      <c r="Y231" s="1235"/>
      <c r="Z231" s="1235"/>
      <c r="AA231" s="1235"/>
      <c r="AB231" s="1235"/>
      <c r="AC231" s="1235"/>
      <c r="AD231" s="1235"/>
      <c r="AE231" s="1235"/>
      <c r="AF231" s="1235"/>
      <c r="AG231" s="1235"/>
      <c r="AH231" s="1235"/>
      <c r="AI231" s="1235"/>
      <c r="AJ231" s="1235"/>
      <c r="AK231" s="1235"/>
      <c r="AL231" s="1235"/>
    </row>
    <row r="232" spans="1:38" s="1232" customFormat="1">
      <c r="A232" s="1230" t="s">
        <v>255</v>
      </c>
      <c r="B232" s="1230">
        <v>590563967.62</v>
      </c>
      <c r="C232" s="1262">
        <v>5.9769999999999997E-2</v>
      </c>
      <c r="D232" s="1308">
        <v>399423153.06</v>
      </c>
      <c r="E232" s="1308">
        <v>191140814.56</v>
      </c>
      <c r="F232" s="1247">
        <v>5333</v>
      </c>
      <c r="G232" s="1262">
        <v>5.5919999999999997E-2</v>
      </c>
      <c r="O232" s="1235"/>
      <c r="P232" s="1235"/>
      <c r="Q232" s="1235"/>
      <c r="R232" s="1235"/>
      <c r="S232" s="1235"/>
      <c r="T232" s="1235"/>
      <c r="U232" s="1235"/>
      <c r="V232" s="1235"/>
      <c r="W232" s="1235"/>
      <c r="X232" s="1235"/>
      <c r="Y232" s="1235"/>
      <c r="Z232" s="1235"/>
      <c r="AA232" s="1235"/>
      <c r="AB232" s="1235"/>
      <c r="AC232" s="1235"/>
      <c r="AD232" s="1235"/>
      <c r="AE232" s="1235"/>
      <c r="AF232" s="1235"/>
      <c r="AG232" s="1235"/>
      <c r="AH232" s="1235"/>
      <c r="AI232" s="1235"/>
      <c r="AJ232" s="1235"/>
      <c r="AK232" s="1235"/>
      <c r="AL232" s="1235"/>
    </row>
    <row r="233" spans="1:38" s="1232" customFormat="1">
      <c r="A233" s="1230" t="s">
        <v>256</v>
      </c>
      <c r="B233" s="1230">
        <v>579964353.11000001</v>
      </c>
      <c r="C233" s="1262">
        <v>5.8700000000000002E-2</v>
      </c>
      <c r="D233" s="1308">
        <v>395411932.00999999</v>
      </c>
      <c r="E233" s="1308">
        <v>184552421.09999999</v>
      </c>
      <c r="F233" s="1247">
        <v>4921</v>
      </c>
      <c r="G233" s="1262">
        <v>5.16E-2</v>
      </c>
      <c r="O233" s="1235"/>
      <c r="P233" s="1235"/>
      <c r="Q233" s="1235"/>
      <c r="R233" s="1235"/>
      <c r="S233" s="1235"/>
      <c r="T233" s="1235"/>
      <c r="U233" s="1235"/>
      <c r="V233" s="1235"/>
      <c r="W233" s="1235"/>
      <c r="X233" s="1235"/>
      <c r="Y233" s="1235"/>
      <c r="Z233" s="1235"/>
      <c r="AA233" s="1235"/>
      <c r="AB233" s="1235"/>
      <c r="AC233" s="1235"/>
      <c r="AD233" s="1235"/>
      <c r="AE233" s="1235"/>
      <c r="AF233" s="1235"/>
      <c r="AG233" s="1235"/>
      <c r="AH233" s="1235"/>
      <c r="AI233" s="1235"/>
      <c r="AJ233" s="1235"/>
      <c r="AK233" s="1235"/>
      <c r="AL233" s="1235"/>
    </row>
    <row r="234" spans="1:38" s="1232" customFormat="1">
      <c r="A234" s="1230" t="s">
        <v>257</v>
      </c>
      <c r="B234" s="1230">
        <v>856301928.98000002</v>
      </c>
      <c r="C234" s="1262">
        <v>8.6669999999999997E-2</v>
      </c>
      <c r="D234" s="1308">
        <v>559075625.58000004</v>
      </c>
      <c r="E234" s="1308">
        <v>297226303.39999998</v>
      </c>
      <c r="F234" s="1247">
        <v>6889</v>
      </c>
      <c r="G234" s="1262">
        <v>7.2239999999999999E-2</v>
      </c>
      <c r="O234" s="1235"/>
      <c r="P234" s="1235"/>
      <c r="Q234" s="1235"/>
      <c r="R234" s="1235"/>
      <c r="S234" s="1235"/>
      <c r="T234" s="1235"/>
      <c r="U234" s="1235"/>
      <c r="V234" s="1235"/>
      <c r="W234" s="1235"/>
      <c r="X234" s="1235"/>
      <c r="Y234" s="1235"/>
      <c r="Z234" s="1235"/>
      <c r="AA234" s="1235"/>
      <c r="AB234" s="1235"/>
      <c r="AC234" s="1235"/>
      <c r="AD234" s="1235"/>
      <c r="AE234" s="1235"/>
      <c r="AF234" s="1235"/>
      <c r="AG234" s="1235"/>
      <c r="AH234" s="1235"/>
      <c r="AI234" s="1235"/>
      <c r="AJ234" s="1235"/>
      <c r="AK234" s="1235"/>
      <c r="AL234" s="1235"/>
    </row>
    <row r="235" spans="1:38" s="1232" customFormat="1">
      <c r="A235" s="1230" t="s">
        <v>258</v>
      </c>
      <c r="B235" s="1230">
        <v>663922732.29999995</v>
      </c>
      <c r="C235" s="1262">
        <v>6.7199999999999996E-2</v>
      </c>
      <c r="D235" s="1308">
        <v>435161767.56</v>
      </c>
      <c r="E235" s="1308">
        <v>228760964.74000001</v>
      </c>
      <c r="F235" s="1247">
        <v>5162</v>
      </c>
      <c r="G235" s="1262">
        <v>5.4129999999999998E-2</v>
      </c>
      <c r="O235" s="1235"/>
      <c r="P235" s="1235"/>
      <c r="Q235" s="1235"/>
      <c r="R235" s="1235"/>
      <c r="S235" s="1235"/>
      <c r="T235" s="1235"/>
      <c r="U235" s="1235"/>
      <c r="V235" s="1235"/>
      <c r="W235" s="1235"/>
      <c r="X235" s="1235"/>
      <c r="Y235" s="1235"/>
      <c r="Z235" s="1235"/>
      <c r="AA235" s="1235"/>
      <c r="AB235" s="1235"/>
      <c r="AC235" s="1235"/>
      <c r="AD235" s="1235"/>
      <c r="AE235" s="1235"/>
      <c r="AF235" s="1235"/>
      <c r="AG235" s="1235"/>
      <c r="AH235" s="1235"/>
      <c r="AI235" s="1235"/>
      <c r="AJ235" s="1235"/>
      <c r="AK235" s="1235"/>
      <c r="AL235" s="1235"/>
    </row>
    <row r="236" spans="1:38" s="1232" customFormat="1">
      <c r="A236" s="1230" t="s">
        <v>259</v>
      </c>
      <c r="B236" s="1230">
        <v>488291446.64999998</v>
      </c>
      <c r="C236" s="1262">
        <v>4.9419999999999999E-2</v>
      </c>
      <c r="D236" s="1308">
        <v>304760486.98000002</v>
      </c>
      <c r="E236" s="1308">
        <v>183530959.66999999</v>
      </c>
      <c r="F236" s="1247">
        <v>3624</v>
      </c>
      <c r="G236" s="1262">
        <v>3.7999999999999999E-2</v>
      </c>
      <c r="O236" s="1235"/>
      <c r="P236" s="1235"/>
      <c r="Q236" s="1235"/>
      <c r="R236" s="1235"/>
      <c r="S236" s="1235"/>
      <c r="T236" s="1235"/>
      <c r="U236" s="1235"/>
      <c r="V236" s="1235"/>
      <c r="W236" s="1235"/>
      <c r="X236" s="1235"/>
      <c r="Y236" s="1235"/>
      <c r="Z236" s="1235"/>
      <c r="AA236" s="1235"/>
      <c r="AB236" s="1235"/>
      <c r="AC236" s="1235"/>
      <c r="AD236" s="1235"/>
      <c r="AE236" s="1235"/>
      <c r="AF236" s="1235"/>
      <c r="AG236" s="1235"/>
      <c r="AH236" s="1235"/>
      <c r="AI236" s="1235"/>
      <c r="AJ236" s="1235"/>
      <c r="AK236" s="1235"/>
      <c r="AL236" s="1235"/>
    </row>
    <row r="237" spans="1:38" s="1232" customFormat="1">
      <c r="A237" s="1230" t="s">
        <v>260</v>
      </c>
      <c r="B237" s="1230">
        <v>187264958.53</v>
      </c>
      <c r="C237" s="1262">
        <v>1.8950000000000002E-2</v>
      </c>
      <c r="D237" s="1308">
        <v>155544149.62</v>
      </c>
      <c r="E237" s="1308">
        <v>31720808.91</v>
      </c>
      <c r="F237" s="1247">
        <v>1437</v>
      </c>
      <c r="G237" s="1262">
        <v>1.507E-2</v>
      </c>
      <c r="O237" s="1235"/>
      <c r="P237" s="1235"/>
      <c r="Q237" s="1235"/>
      <c r="R237" s="1235"/>
      <c r="S237" s="1235"/>
      <c r="T237" s="1235"/>
      <c r="U237" s="1235"/>
      <c r="V237" s="1235"/>
      <c r="W237" s="1235"/>
      <c r="X237" s="1235"/>
      <c r="Y237" s="1235"/>
      <c r="Z237" s="1235"/>
      <c r="AA237" s="1235"/>
      <c r="AB237" s="1235"/>
      <c r="AC237" s="1235"/>
      <c r="AD237" s="1235"/>
      <c r="AE237" s="1235"/>
      <c r="AF237" s="1235"/>
      <c r="AG237" s="1235"/>
      <c r="AH237" s="1235"/>
      <c r="AI237" s="1235"/>
      <c r="AJ237" s="1235"/>
      <c r="AK237" s="1235"/>
      <c r="AL237" s="1235"/>
    </row>
    <row r="238" spans="1:38" s="1232" customFormat="1">
      <c r="A238" s="1230" t="s">
        <v>261</v>
      </c>
      <c r="B238" s="1230">
        <v>165839759.71000001</v>
      </c>
      <c r="C238" s="1262">
        <v>1.678E-2</v>
      </c>
      <c r="D238" s="1308">
        <v>139636969.38999999</v>
      </c>
      <c r="E238" s="1308">
        <v>26202790.32</v>
      </c>
      <c r="F238" s="1247">
        <v>1240</v>
      </c>
      <c r="G238" s="1262">
        <v>1.2999999999999999E-2</v>
      </c>
      <c r="O238" s="1235"/>
      <c r="P238" s="1235"/>
      <c r="Q238" s="1235"/>
      <c r="R238" s="1235"/>
      <c r="S238" s="1235"/>
      <c r="T238" s="1235"/>
      <c r="U238" s="1235"/>
      <c r="V238" s="1235"/>
      <c r="W238" s="1235"/>
      <c r="X238" s="1235"/>
      <c r="Y238" s="1235"/>
      <c r="Z238" s="1235"/>
      <c r="AA238" s="1235"/>
      <c r="AB238" s="1235"/>
      <c r="AC238" s="1235"/>
      <c r="AD238" s="1235"/>
      <c r="AE238" s="1235"/>
      <c r="AF238" s="1235"/>
      <c r="AG238" s="1235"/>
      <c r="AH238" s="1235"/>
      <c r="AI238" s="1235"/>
      <c r="AJ238" s="1235"/>
      <c r="AK238" s="1235"/>
      <c r="AL238" s="1235"/>
    </row>
    <row r="239" spans="1:38" s="1232" customFormat="1">
      <c r="A239" s="1230" t="s">
        <v>262</v>
      </c>
      <c r="B239" s="1230">
        <v>307475779.61000001</v>
      </c>
      <c r="C239" s="1262">
        <v>3.1119999999999998E-2</v>
      </c>
      <c r="D239" s="1308">
        <v>278660557.98000002</v>
      </c>
      <c r="E239" s="1308">
        <v>28815221.629999999</v>
      </c>
      <c r="F239" s="1247">
        <v>2166</v>
      </c>
      <c r="G239" s="1262">
        <v>2.2710000000000001E-2</v>
      </c>
      <c r="O239" s="1235"/>
      <c r="P239" s="1235"/>
      <c r="Q239" s="1235"/>
      <c r="R239" s="1235"/>
      <c r="S239" s="1235"/>
      <c r="T239" s="1235"/>
      <c r="U239" s="1235"/>
      <c r="V239" s="1235"/>
      <c r="W239" s="1235"/>
      <c r="X239" s="1235"/>
      <c r="Y239" s="1235"/>
      <c r="Z239" s="1235"/>
      <c r="AA239" s="1235"/>
      <c r="AB239" s="1235"/>
      <c r="AC239" s="1235"/>
      <c r="AD239" s="1235"/>
      <c r="AE239" s="1235"/>
      <c r="AF239" s="1235"/>
      <c r="AG239" s="1235"/>
      <c r="AH239" s="1235"/>
      <c r="AI239" s="1235"/>
      <c r="AJ239" s="1235"/>
      <c r="AK239" s="1235"/>
      <c r="AL239" s="1235"/>
    </row>
    <row r="240" spans="1:38" s="1232" customFormat="1">
      <c r="A240" s="1230" t="s">
        <v>263</v>
      </c>
      <c r="B240" s="1230">
        <v>119780776.56</v>
      </c>
      <c r="C240" s="1262">
        <v>1.2120000000000001E-2</v>
      </c>
      <c r="D240" s="1308">
        <v>102417830.92</v>
      </c>
      <c r="E240" s="1308">
        <v>17362945.640000001</v>
      </c>
      <c r="F240" s="1247">
        <v>949</v>
      </c>
      <c r="G240" s="1262">
        <v>9.9500000000000005E-3</v>
      </c>
      <c r="O240" s="1235"/>
      <c r="P240" s="1235"/>
      <c r="Q240" s="1235"/>
      <c r="R240" s="1235"/>
      <c r="S240" s="1235"/>
      <c r="T240" s="1235"/>
      <c r="U240" s="1235"/>
      <c r="V240" s="1235"/>
      <c r="W240" s="1235"/>
      <c r="X240" s="1235"/>
      <c r="Y240" s="1235"/>
      <c r="Z240" s="1235"/>
      <c r="AA240" s="1235"/>
      <c r="AB240" s="1235"/>
      <c r="AC240" s="1235"/>
      <c r="AD240" s="1235"/>
      <c r="AE240" s="1235"/>
      <c r="AF240" s="1235"/>
      <c r="AG240" s="1235"/>
      <c r="AH240" s="1235"/>
      <c r="AI240" s="1235"/>
      <c r="AJ240" s="1235"/>
      <c r="AK240" s="1235"/>
      <c r="AL240" s="1235"/>
    </row>
    <row r="241" spans="1:38" s="1232" customFormat="1">
      <c r="A241" s="1230" t="s">
        <v>264</v>
      </c>
      <c r="B241" s="1230">
        <v>103905270.94</v>
      </c>
      <c r="C241" s="1262">
        <v>1.052E-2</v>
      </c>
      <c r="D241" s="1308">
        <v>90386399.459999993</v>
      </c>
      <c r="E241" s="1308">
        <v>13518871.48</v>
      </c>
      <c r="F241" s="1247">
        <v>867</v>
      </c>
      <c r="G241" s="1262">
        <v>9.0900000000000009E-3</v>
      </c>
      <c r="O241" s="1235"/>
      <c r="P241" s="1235"/>
      <c r="Q241" s="1235"/>
      <c r="R241" s="1235"/>
      <c r="S241" s="1235"/>
      <c r="T241" s="1235"/>
      <c r="U241" s="1235"/>
      <c r="V241" s="1235"/>
      <c r="W241" s="1235"/>
      <c r="X241" s="1235"/>
      <c r="Y241" s="1235"/>
      <c r="Z241" s="1235"/>
      <c r="AA241" s="1235"/>
      <c r="AB241" s="1235"/>
      <c r="AC241" s="1235"/>
      <c r="AD241" s="1235"/>
      <c r="AE241" s="1235"/>
      <c r="AF241" s="1235"/>
      <c r="AG241" s="1235"/>
      <c r="AH241" s="1235"/>
      <c r="AI241" s="1235"/>
      <c r="AJ241" s="1235"/>
      <c r="AK241" s="1235"/>
      <c r="AL241" s="1235"/>
    </row>
    <row r="242" spans="1:38" s="1232" customFormat="1">
      <c r="A242" s="1230" t="s">
        <v>265</v>
      </c>
      <c r="B242" s="1230">
        <v>50939812.57</v>
      </c>
      <c r="C242" s="1262">
        <v>5.1599999999999997E-3</v>
      </c>
      <c r="D242" s="1308">
        <v>45141093.770000003</v>
      </c>
      <c r="E242" s="1308">
        <v>5798718.7999999998</v>
      </c>
      <c r="F242" s="1247">
        <v>396</v>
      </c>
      <c r="G242" s="1262">
        <v>4.15E-3</v>
      </c>
      <c r="O242" s="1235"/>
      <c r="P242" s="1235"/>
      <c r="Q242" s="1235"/>
      <c r="R242" s="1235"/>
      <c r="S242" s="1235"/>
      <c r="T242" s="1235"/>
      <c r="U242" s="1235"/>
      <c r="V242" s="1235"/>
      <c r="W242" s="1235"/>
      <c r="X242" s="1235"/>
      <c r="Y242" s="1235"/>
      <c r="Z242" s="1235"/>
      <c r="AA242" s="1235"/>
      <c r="AB242" s="1235"/>
      <c r="AC242" s="1235"/>
      <c r="AD242" s="1235"/>
      <c r="AE242" s="1235"/>
      <c r="AF242" s="1235"/>
      <c r="AG242" s="1235"/>
      <c r="AH242" s="1235"/>
      <c r="AI242" s="1235"/>
      <c r="AJ242" s="1235"/>
      <c r="AK242" s="1235"/>
      <c r="AL242" s="1235"/>
    </row>
    <row r="243" spans="1:38" s="1232" customFormat="1">
      <c r="A243" s="1230" t="s">
        <v>266</v>
      </c>
      <c r="B243" s="1230">
        <v>54017346.829999998</v>
      </c>
      <c r="C243" s="1262">
        <v>5.47E-3</v>
      </c>
      <c r="D243" s="1308">
        <v>47124110.420000002</v>
      </c>
      <c r="E243" s="1308">
        <v>6893236.4100000001</v>
      </c>
      <c r="F243" s="1247">
        <v>401</v>
      </c>
      <c r="G243" s="1262">
        <v>4.1999999999999997E-3</v>
      </c>
      <c r="O243" s="1235"/>
      <c r="P243" s="1235"/>
      <c r="Q243" s="1235"/>
      <c r="R243" s="1235"/>
      <c r="S243" s="1235"/>
      <c r="T243" s="1235"/>
      <c r="U243" s="1235"/>
      <c r="V243" s="1235"/>
      <c r="W243" s="1235"/>
      <c r="X243" s="1235"/>
      <c r="Y243" s="1235"/>
      <c r="Z243" s="1235"/>
      <c r="AA243" s="1235"/>
      <c r="AB243" s="1235"/>
      <c r="AC243" s="1235"/>
      <c r="AD243" s="1235"/>
      <c r="AE243" s="1235"/>
      <c r="AF243" s="1235"/>
      <c r="AG243" s="1235"/>
      <c r="AH243" s="1235"/>
      <c r="AI243" s="1235"/>
      <c r="AJ243" s="1235"/>
      <c r="AK243" s="1235"/>
      <c r="AL243" s="1235"/>
    </row>
    <row r="244" spans="1:38" s="1232" customFormat="1">
      <c r="A244" s="1230" t="s">
        <v>267</v>
      </c>
      <c r="B244" s="1230">
        <v>114577463.7</v>
      </c>
      <c r="C244" s="1262">
        <v>1.1599999999999999E-2</v>
      </c>
      <c r="D244" s="1308">
        <v>105506512.66</v>
      </c>
      <c r="E244" s="1308">
        <v>9070951.0399999991</v>
      </c>
      <c r="F244" s="1247">
        <v>851</v>
      </c>
      <c r="G244" s="1262">
        <v>8.9200000000000008E-3</v>
      </c>
      <c r="O244" s="1235"/>
      <c r="P244" s="1235"/>
      <c r="Q244" s="1235"/>
      <c r="R244" s="1235"/>
      <c r="S244" s="1235"/>
      <c r="T244" s="1235"/>
      <c r="U244" s="1235"/>
      <c r="V244" s="1235"/>
      <c r="W244" s="1235"/>
      <c r="X244" s="1235"/>
      <c r="Y244" s="1235"/>
      <c r="Z244" s="1235"/>
      <c r="AA244" s="1235"/>
      <c r="AB244" s="1235"/>
      <c r="AC244" s="1235"/>
      <c r="AD244" s="1235"/>
      <c r="AE244" s="1235"/>
      <c r="AF244" s="1235"/>
      <c r="AG244" s="1235"/>
      <c r="AH244" s="1235"/>
      <c r="AI244" s="1235"/>
      <c r="AJ244" s="1235"/>
      <c r="AK244" s="1235"/>
      <c r="AL244" s="1235"/>
    </row>
    <row r="245" spans="1:38" s="1232" customFormat="1">
      <c r="A245" s="1230" t="s">
        <v>929</v>
      </c>
      <c r="B245" s="1230">
        <v>54522562.369999997</v>
      </c>
      <c r="C245" s="1262">
        <v>5.5199999999999997E-3</v>
      </c>
      <c r="D245" s="1308">
        <v>45679053.859999999</v>
      </c>
      <c r="E245" s="1308">
        <v>8843508.5099999998</v>
      </c>
      <c r="F245" s="1247">
        <v>456</v>
      </c>
      <c r="G245" s="1262">
        <v>4.7800000000000004E-3</v>
      </c>
      <c r="O245" s="1235"/>
      <c r="P245" s="1235"/>
      <c r="Q245" s="1235"/>
      <c r="R245" s="1235"/>
      <c r="S245" s="1235"/>
      <c r="T245" s="1235"/>
      <c r="U245" s="1235"/>
      <c r="V245" s="1235"/>
      <c r="W245" s="1235"/>
      <c r="X245" s="1235"/>
      <c r="Y245" s="1235"/>
      <c r="Z245" s="1235"/>
      <c r="AA245" s="1235"/>
      <c r="AB245" s="1235"/>
      <c r="AC245" s="1235"/>
      <c r="AD245" s="1235"/>
      <c r="AE245" s="1235"/>
      <c r="AF245" s="1235"/>
      <c r="AG245" s="1235"/>
      <c r="AH245" s="1235"/>
      <c r="AI245" s="1235"/>
      <c r="AJ245" s="1235"/>
      <c r="AK245" s="1235"/>
      <c r="AL245" s="1235"/>
    </row>
    <row r="246" spans="1:38" s="1232" customFormat="1">
      <c r="A246" s="1230" t="s">
        <v>933</v>
      </c>
      <c r="B246" s="1230">
        <v>56527662.130000003</v>
      </c>
      <c r="C246" s="1262">
        <v>5.7200000000000003E-3</v>
      </c>
      <c r="D246" s="1308">
        <v>52222208.969999999</v>
      </c>
      <c r="E246" s="1308">
        <v>4305453.16</v>
      </c>
      <c r="F246" s="1247">
        <v>479</v>
      </c>
      <c r="G246" s="1262">
        <v>5.0200000000000002E-3</v>
      </c>
      <c r="O246" s="1235"/>
      <c r="P246" s="1235"/>
      <c r="Q246" s="1235"/>
      <c r="R246" s="1235"/>
      <c r="S246" s="1235"/>
      <c r="T246" s="1235"/>
      <c r="U246" s="1235"/>
      <c r="V246" s="1235"/>
      <c r="W246" s="1235"/>
      <c r="X246" s="1235"/>
      <c r="Y246" s="1235"/>
      <c r="Z246" s="1235"/>
      <c r="AA246" s="1235"/>
      <c r="AB246" s="1235"/>
      <c r="AC246" s="1235"/>
      <c r="AD246" s="1235"/>
      <c r="AE246" s="1235"/>
      <c r="AF246" s="1235"/>
      <c r="AG246" s="1235"/>
      <c r="AH246" s="1235"/>
      <c r="AI246" s="1235"/>
      <c r="AJ246" s="1235"/>
      <c r="AK246" s="1235"/>
      <c r="AL246" s="1235"/>
    </row>
    <row r="247" spans="1:38" s="1232" customFormat="1">
      <c r="A247" s="1230" t="s">
        <v>426</v>
      </c>
      <c r="B247" s="1230">
        <v>19069798.969999999</v>
      </c>
      <c r="C247" s="1262">
        <v>1.9300000000000001E-3</v>
      </c>
      <c r="D247" s="1308">
        <v>18425376.129999999</v>
      </c>
      <c r="E247" s="1308">
        <v>644422.84</v>
      </c>
      <c r="F247" s="1247">
        <v>146</v>
      </c>
      <c r="G247" s="1262">
        <v>1.5299999999999999E-3</v>
      </c>
      <c r="O247" s="1235"/>
      <c r="P247" s="1235"/>
      <c r="Q247" s="1235"/>
      <c r="R247" s="1235"/>
      <c r="S247" s="1235"/>
      <c r="T247" s="1235"/>
      <c r="U247" s="1235"/>
      <c r="V247" s="1235"/>
      <c r="W247" s="1235"/>
      <c r="X247" s="1235"/>
      <c r="Y247" s="1235"/>
      <c r="Z247" s="1235"/>
      <c r="AA247" s="1235"/>
      <c r="AB247" s="1235"/>
      <c r="AC247" s="1235"/>
      <c r="AD247" s="1235"/>
      <c r="AE247" s="1235"/>
      <c r="AF247" s="1235"/>
      <c r="AG247" s="1235"/>
      <c r="AH247" s="1235"/>
      <c r="AI247" s="1235"/>
      <c r="AJ247" s="1235"/>
      <c r="AK247" s="1235"/>
      <c r="AL247" s="1235"/>
    </row>
    <row r="248" spans="1:38" s="1232" customFormat="1">
      <c r="A248" s="1230" t="s">
        <v>1061</v>
      </c>
      <c r="B248" s="1230">
        <v>15619838.93</v>
      </c>
      <c r="C248" s="1262">
        <v>1.58E-3</v>
      </c>
      <c r="D248" s="1308">
        <v>15008258.449999999</v>
      </c>
      <c r="E248" s="1308">
        <v>611580.48</v>
      </c>
      <c r="F248" s="1247">
        <v>96</v>
      </c>
      <c r="G248" s="1262">
        <v>1.01E-3</v>
      </c>
      <c r="O248" s="1235"/>
      <c r="P248" s="1235"/>
      <c r="Q248" s="1235"/>
      <c r="R248" s="1235"/>
      <c r="S248" s="1235"/>
      <c r="T248" s="1235"/>
      <c r="U248" s="1235"/>
      <c r="V248" s="1235"/>
      <c r="W248" s="1235"/>
      <c r="X248" s="1235"/>
      <c r="Y248" s="1235"/>
      <c r="Z248" s="1235"/>
      <c r="AA248" s="1235"/>
      <c r="AB248" s="1235"/>
      <c r="AC248" s="1235"/>
      <c r="AD248" s="1235"/>
      <c r="AE248" s="1235"/>
      <c r="AF248" s="1235"/>
      <c r="AG248" s="1235"/>
      <c r="AH248" s="1235"/>
      <c r="AI248" s="1235"/>
      <c r="AJ248" s="1235"/>
      <c r="AK248" s="1235"/>
      <c r="AL248" s="1235"/>
    </row>
    <row r="249" spans="1:38" s="1232" customFormat="1">
      <c r="A249" s="1230" t="s">
        <v>1062</v>
      </c>
      <c r="B249" s="1230">
        <v>37069580.490000002</v>
      </c>
      <c r="C249" s="1262">
        <v>3.7499999999999999E-3</v>
      </c>
      <c r="D249" s="1308">
        <v>37069580.490000002</v>
      </c>
      <c r="E249" s="1308">
        <v>0</v>
      </c>
      <c r="F249" s="1247">
        <v>252</v>
      </c>
      <c r="G249" s="1262">
        <v>2.64E-3</v>
      </c>
      <c r="O249" s="1235"/>
      <c r="P249" s="1235"/>
      <c r="Q249" s="1235"/>
      <c r="R249" s="1235"/>
      <c r="S249" s="1235"/>
      <c r="T249" s="1235"/>
      <c r="U249" s="1235"/>
      <c r="V249" s="1235"/>
      <c r="W249" s="1235"/>
      <c r="X249" s="1235"/>
      <c r="Y249" s="1235"/>
      <c r="Z249" s="1235"/>
      <c r="AA249" s="1235"/>
      <c r="AB249" s="1235"/>
      <c r="AC249" s="1235"/>
      <c r="AD249" s="1235"/>
      <c r="AE249" s="1235"/>
      <c r="AF249" s="1235"/>
      <c r="AG249" s="1235"/>
      <c r="AH249" s="1235"/>
      <c r="AI249" s="1235"/>
      <c r="AJ249" s="1235"/>
      <c r="AK249" s="1235"/>
      <c r="AL249" s="1235"/>
    </row>
    <row r="250" spans="1:38" s="1232" customFormat="1" ht="13.5" thickBot="1">
      <c r="A250" s="1267" t="s">
        <v>814</v>
      </c>
      <c r="B250" s="1253">
        <v>9880455830.0200005</v>
      </c>
      <c r="C250" s="1309">
        <v>1.0000100000000001</v>
      </c>
      <c r="D250" s="1310">
        <v>5936322536.7200003</v>
      </c>
      <c r="E250" s="1310">
        <v>3944133293.3000002</v>
      </c>
      <c r="F250" s="1251">
        <v>95364</v>
      </c>
      <c r="G250" s="1309">
        <v>0.99997000000000014</v>
      </c>
      <c r="O250" s="1235"/>
      <c r="P250" s="1235"/>
      <c r="Q250" s="1235"/>
      <c r="R250" s="1235"/>
      <c r="S250" s="1235"/>
      <c r="T250" s="1235"/>
      <c r="U250" s="1235"/>
      <c r="V250" s="1235"/>
      <c r="W250" s="1235"/>
      <c r="X250" s="1235"/>
      <c r="Y250" s="1235"/>
      <c r="Z250" s="1235"/>
      <c r="AA250" s="1235"/>
      <c r="AB250" s="1235"/>
      <c r="AC250" s="1235"/>
      <c r="AD250" s="1235"/>
      <c r="AE250" s="1235"/>
      <c r="AF250" s="1235"/>
      <c r="AG250" s="1235"/>
      <c r="AH250" s="1235"/>
      <c r="AI250" s="1235"/>
      <c r="AJ250" s="1235"/>
      <c r="AK250" s="1235"/>
      <c r="AL250" s="1235"/>
    </row>
    <row r="251" spans="1:38" s="1232" customFormat="1" ht="13.5" thickTop="1">
      <c r="A251" s="1289"/>
      <c r="B251" s="1235"/>
      <c r="C251" s="1235"/>
      <c r="D251" s="1298"/>
      <c r="E251" s="1235"/>
      <c r="F251" s="1235"/>
      <c r="M251" s="1235"/>
      <c r="N251" s="1235"/>
      <c r="O251" s="1235"/>
      <c r="P251" s="1235"/>
      <c r="Q251" s="1235"/>
      <c r="R251" s="1235"/>
      <c r="S251" s="1235"/>
      <c r="T251" s="1235"/>
      <c r="U251" s="1235"/>
      <c r="V251" s="1235"/>
      <c r="W251" s="1235"/>
      <c r="X251" s="1235"/>
      <c r="Y251" s="1235"/>
      <c r="Z251" s="1235"/>
      <c r="AA251" s="1235"/>
      <c r="AB251" s="1235"/>
      <c r="AC251" s="1235"/>
      <c r="AD251" s="1235"/>
      <c r="AE251" s="1235"/>
      <c r="AF251" s="1235"/>
      <c r="AG251" s="1235"/>
      <c r="AH251" s="1235"/>
      <c r="AI251" s="1235"/>
      <c r="AJ251" s="1235"/>
    </row>
    <row r="252" spans="1:38" s="1232" customFormat="1">
      <c r="A252" s="1289"/>
      <c r="B252" s="1235"/>
      <c r="C252" s="1235"/>
      <c r="D252" s="1298"/>
      <c r="E252" s="1235"/>
      <c r="F252" s="1235"/>
      <c r="M252" s="1235"/>
      <c r="N252" s="1235"/>
      <c r="O252" s="1235"/>
      <c r="P252" s="1235"/>
      <c r="Q252" s="1235"/>
      <c r="R252" s="1235"/>
      <c r="S252" s="1235"/>
      <c r="T252" s="1235"/>
      <c r="U252" s="1235"/>
      <c r="V252" s="1235"/>
      <c r="W252" s="1235"/>
      <c r="X252" s="1235"/>
      <c r="Y252" s="1235"/>
      <c r="Z252" s="1235"/>
      <c r="AA252" s="1235"/>
      <c r="AB252" s="1235"/>
      <c r="AC252" s="1235"/>
      <c r="AD252" s="1235"/>
      <c r="AE252" s="1235"/>
      <c r="AF252" s="1235"/>
      <c r="AG252" s="1235"/>
      <c r="AH252" s="1235"/>
      <c r="AI252" s="1235"/>
      <c r="AJ252" s="1235"/>
    </row>
    <row r="253" spans="1:38" s="1232" customFormat="1" ht="15.75">
      <c r="A253" s="1268" t="s">
        <v>841</v>
      </c>
      <c r="B253" s="1230"/>
      <c r="C253" s="1231"/>
      <c r="D253" s="1230"/>
      <c r="E253" s="1231"/>
      <c r="F253" s="1269"/>
      <c r="G253" s="1246"/>
      <c r="M253" s="1235"/>
      <c r="N253" s="1235"/>
      <c r="O253" s="1235"/>
      <c r="P253" s="1235"/>
      <c r="Q253" s="1235"/>
      <c r="R253" s="1235"/>
      <c r="S253" s="1235"/>
      <c r="T253" s="1235"/>
      <c r="U253" s="1235"/>
      <c r="V253" s="1235"/>
      <c r="W253" s="1235"/>
      <c r="X253" s="1235"/>
      <c r="Y253" s="1235"/>
      <c r="Z253" s="1235"/>
      <c r="AA253" s="1235"/>
      <c r="AB253" s="1235"/>
      <c r="AC253" s="1235"/>
      <c r="AD253" s="1235"/>
      <c r="AE253" s="1235"/>
      <c r="AF253" s="1235"/>
      <c r="AG253" s="1235"/>
      <c r="AH253" s="1235"/>
      <c r="AI253" s="1235"/>
      <c r="AJ253" s="1235"/>
    </row>
    <row r="254" spans="1:38" s="1271" customFormat="1" ht="25.5">
      <c r="A254" s="1265" t="s">
        <v>638</v>
      </c>
      <c r="B254" s="1240" t="s">
        <v>939</v>
      </c>
      <c r="C254" s="1241" t="s">
        <v>991</v>
      </c>
      <c r="D254" s="1301" t="s">
        <v>938</v>
      </c>
      <c r="E254" s="1241" t="s">
        <v>991</v>
      </c>
      <c r="F254" s="1240" t="s">
        <v>992</v>
      </c>
      <c r="G254" s="1241" t="s">
        <v>991</v>
      </c>
      <c r="M254" s="1272"/>
      <c r="N254" s="1272"/>
      <c r="O254" s="1272"/>
      <c r="P254" s="1272"/>
      <c r="Q254" s="1272"/>
      <c r="R254" s="1272"/>
      <c r="S254" s="1272"/>
      <c r="T254" s="1272"/>
      <c r="U254" s="1272"/>
      <c r="V254" s="1272"/>
      <c r="W254" s="1272"/>
      <c r="X254" s="1272"/>
      <c r="Y254" s="1272"/>
      <c r="Z254" s="1272"/>
      <c r="AA254" s="1272"/>
      <c r="AB254" s="1272"/>
      <c r="AC254" s="1272"/>
      <c r="AD254" s="1272"/>
      <c r="AE254" s="1272"/>
      <c r="AF254" s="1272"/>
      <c r="AG254" s="1272"/>
      <c r="AH254" s="1272"/>
      <c r="AI254" s="1272"/>
      <c r="AJ254" s="1272"/>
    </row>
    <row r="255" spans="1:38" s="1232" customFormat="1">
      <c r="A255" s="1255" t="s">
        <v>345</v>
      </c>
      <c r="B255" s="1230" t="s">
        <v>939</v>
      </c>
      <c r="C255" s="1246" t="s">
        <v>881</v>
      </c>
      <c r="D255" s="1311" t="s">
        <v>938</v>
      </c>
      <c r="E255" s="1246" t="s">
        <v>881</v>
      </c>
      <c r="F255" s="1247" t="s">
        <v>86</v>
      </c>
      <c r="G255" s="1246" t="s">
        <v>743</v>
      </c>
      <c r="M255" s="1235"/>
      <c r="N255" s="1235"/>
      <c r="O255" s="1235"/>
      <c r="P255" s="1235"/>
      <c r="Q255" s="1235"/>
      <c r="R255" s="1235"/>
      <c r="S255" s="1235"/>
      <c r="T255" s="1235"/>
      <c r="U255" s="1235"/>
      <c r="V255" s="1235"/>
      <c r="W255" s="1235"/>
      <c r="X255" s="1235"/>
      <c r="Y255" s="1235"/>
      <c r="Z255" s="1235"/>
      <c r="AA255" s="1235"/>
      <c r="AB255" s="1235"/>
      <c r="AC255" s="1235"/>
      <c r="AD255" s="1235"/>
      <c r="AE255" s="1235"/>
      <c r="AF255" s="1235"/>
      <c r="AG255" s="1235"/>
      <c r="AH255" s="1235"/>
      <c r="AI255" s="1235"/>
      <c r="AJ255" s="1235"/>
    </row>
    <row r="256" spans="1:38" s="1232" customFormat="1">
      <c r="A256" s="1255" t="s">
        <v>948</v>
      </c>
      <c r="B256" s="1230">
        <v>151066330.22999999</v>
      </c>
      <c r="C256" s="1246">
        <v>8.0610000000000001E-2</v>
      </c>
      <c r="D256" s="1311">
        <v>4460179.2300000004</v>
      </c>
      <c r="E256" s="1246">
        <v>6.114E-2</v>
      </c>
      <c r="F256" s="1247">
        <v>1393</v>
      </c>
      <c r="G256" s="1246">
        <v>7.7359999999999998E-2</v>
      </c>
      <c r="M256" s="1235"/>
      <c r="N256" s="1235"/>
      <c r="O256" s="1235"/>
      <c r="P256" s="1235"/>
      <c r="Q256" s="1235"/>
      <c r="R256" s="1235"/>
      <c r="S256" s="1235"/>
      <c r="T256" s="1235"/>
      <c r="U256" s="1235"/>
      <c r="V256" s="1235"/>
      <c r="W256" s="1235"/>
      <c r="X256" s="1235"/>
      <c r="Y256" s="1235"/>
      <c r="Z256" s="1235"/>
      <c r="AA256" s="1235"/>
      <c r="AB256" s="1235"/>
      <c r="AC256" s="1235"/>
      <c r="AD256" s="1235"/>
      <c r="AE256" s="1235"/>
      <c r="AF256" s="1235"/>
      <c r="AG256" s="1235"/>
      <c r="AH256" s="1235"/>
      <c r="AI256" s="1235"/>
      <c r="AJ256" s="1235"/>
    </row>
    <row r="257" spans="1:36" s="1232" customFormat="1">
      <c r="A257" s="1255" t="s">
        <v>970</v>
      </c>
      <c r="B257" s="1230">
        <v>173244769.74000001</v>
      </c>
      <c r="C257" s="1246">
        <v>9.2439999999999994E-2</v>
      </c>
      <c r="D257" s="1311">
        <v>2947599.84</v>
      </c>
      <c r="E257" s="1246">
        <v>4.0410000000000001E-2</v>
      </c>
      <c r="F257" s="1247">
        <v>1514</v>
      </c>
      <c r="G257" s="1246">
        <v>8.4080000000000002E-2</v>
      </c>
      <c r="M257" s="1235"/>
      <c r="N257" s="1235"/>
      <c r="O257" s="1235"/>
      <c r="P257" s="1235"/>
      <c r="Q257" s="1235"/>
      <c r="R257" s="1235"/>
      <c r="S257" s="1235"/>
      <c r="T257" s="1235"/>
      <c r="U257" s="1235"/>
      <c r="V257" s="1235"/>
      <c r="W257" s="1235"/>
      <c r="X257" s="1235"/>
      <c r="Y257" s="1235"/>
      <c r="Z257" s="1235"/>
      <c r="AA257" s="1235"/>
      <c r="AB257" s="1235"/>
      <c r="AC257" s="1235"/>
      <c r="AD257" s="1235"/>
      <c r="AE257" s="1235"/>
      <c r="AF257" s="1235"/>
      <c r="AG257" s="1235"/>
      <c r="AH257" s="1235"/>
      <c r="AI257" s="1235"/>
      <c r="AJ257" s="1235"/>
    </row>
    <row r="258" spans="1:36" s="1232" customFormat="1">
      <c r="A258" s="1255" t="s">
        <v>563</v>
      </c>
      <c r="B258" s="1230">
        <v>267345931.13</v>
      </c>
      <c r="C258" s="1246">
        <v>0.14265</v>
      </c>
      <c r="D258" s="1311">
        <v>4839197.7</v>
      </c>
      <c r="E258" s="1246">
        <v>6.6339999999999996E-2</v>
      </c>
      <c r="F258" s="1247">
        <v>2184</v>
      </c>
      <c r="G258" s="1246">
        <v>0.12129</v>
      </c>
      <c r="M258" s="1235"/>
      <c r="N258" s="1235"/>
      <c r="O258" s="1235"/>
      <c r="P258" s="1235"/>
      <c r="Q258" s="1235"/>
      <c r="R258" s="1235"/>
      <c r="S258" s="1235"/>
      <c r="T258" s="1235"/>
      <c r="U258" s="1235"/>
      <c r="V258" s="1235"/>
      <c r="W258" s="1235"/>
      <c r="X258" s="1235"/>
      <c r="Y258" s="1235"/>
      <c r="Z258" s="1235"/>
      <c r="AA258" s="1235"/>
      <c r="AB258" s="1235"/>
      <c r="AC258" s="1235"/>
      <c r="AD258" s="1235"/>
      <c r="AE258" s="1235"/>
      <c r="AF258" s="1235"/>
      <c r="AG258" s="1235"/>
      <c r="AH258" s="1235"/>
      <c r="AI258" s="1235"/>
      <c r="AJ258" s="1235"/>
    </row>
    <row r="259" spans="1:36" s="1232" customFormat="1">
      <c r="A259" s="1255" t="s">
        <v>221</v>
      </c>
      <c r="B259" s="1230">
        <v>83246984.780000001</v>
      </c>
      <c r="C259" s="1246">
        <v>4.4420000000000001E-2</v>
      </c>
      <c r="D259" s="1311">
        <v>1002292.18</v>
      </c>
      <c r="E259" s="1246">
        <v>1.374E-2</v>
      </c>
      <c r="F259" s="1247">
        <v>673</v>
      </c>
      <c r="G259" s="1246">
        <v>3.7379999999999997E-2</v>
      </c>
      <c r="M259" s="1235"/>
      <c r="N259" s="1235"/>
      <c r="O259" s="1235"/>
      <c r="P259" s="1235"/>
      <c r="Q259" s="1235"/>
      <c r="R259" s="1235"/>
      <c r="S259" s="1235"/>
      <c r="T259" s="1235"/>
      <c r="U259" s="1235"/>
      <c r="V259" s="1235"/>
      <c r="W259" s="1235"/>
      <c r="X259" s="1235"/>
      <c r="Y259" s="1235"/>
      <c r="Z259" s="1235"/>
      <c r="AA259" s="1235"/>
      <c r="AB259" s="1235"/>
      <c r="AC259" s="1235"/>
      <c r="AD259" s="1235"/>
      <c r="AE259" s="1235"/>
      <c r="AF259" s="1235"/>
      <c r="AG259" s="1235"/>
      <c r="AH259" s="1235"/>
      <c r="AI259" s="1235"/>
      <c r="AJ259" s="1235"/>
    </row>
    <row r="260" spans="1:36" s="1232" customFormat="1">
      <c r="A260" s="1255" t="s">
        <v>82</v>
      </c>
      <c r="B260" s="1230">
        <v>17934841.16</v>
      </c>
      <c r="C260" s="1246">
        <v>9.5700000000000004E-3</v>
      </c>
      <c r="D260" s="1311">
        <v>742279.96</v>
      </c>
      <c r="E260" s="1246">
        <v>1.018E-2</v>
      </c>
      <c r="F260" s="1247">
        <v>131</v>
      </c>
      <c r="G260" s="1246">
        <v>7.28E-3</v>
      </c>
      <c r="M260" s="1235"/>
      <c r="N260" s="1235"/>
      <c r="O260" s="1235"/>
      <c r="P260" s="1235"/>
      <c r="Q260" s="1235"/>
      <c r="R260" s="1235"/>
      <c r="S260" s="1235"/>
      <c r="T260" s="1235"/>
      <c r="U260" s="1235"/>
      <c r="V260" s="1235"/>
      <c r="W260" s="1235"/>
      <c r="X260" s="1235"/>
      <c r="Y260" s="1235"/>
      <c r="Z260" s="1235"/>
      <c r="AA260" s="1235"/>
      <c r="AB260" s="1235"/>
      <c r="AC260" s="1235"/>
      <c r="AD260" s="1235"/>
      <c r="AE260" s="1235"/>
      <c r="AF260" s="1235"/>
      <c r="AG260" s="1235"/>
      <c r="AH260" s="1235"/>
      <c r="AI260" s="1235"/>
      <c r="AJ260" s="1235"/>
    </row>
    <row r="261" spans="1:36" s="1232" customFormat="1">
      <c r="A261" s="1255" t="s">
        <v>427</v>
      </c>
      <c r="B261" s="1230">
        <v>67817983.019999996</v>
      </c>
      <c r="C261" s="1246">
        <v>3.619E-2</v>
      </c>
      <c r="D261" s="1311">
        <v>984476.3</v>
      </c>
      <c r="E261" s="1246">
        <v>1.35E-2</v>
      </c>
      <c r="F261" s="1247">
        <v>584</v>
      </c>
      <c r="G261" s="1246">
        <v>3.243E-2</v>
      </c>
      <c r="M261" s="1235"/>
      <c r="N261" s="1235"/>
      <c r="O261" s="1235"/>
      <c r="P261" s="1235"/>
      <c r="Q261" s="1235"/>
      <c r="R261" s="1235"/>
      <c r="S261" s="1235"/>
      <c r="T261" s="1235"/>
      <c r="U261" s="1235"/>
      <c r="V261" s="1235"/>
      <c r="W261" s="1235"/>
      <c r="X261" s="1235"/>
      <c r="Y261" s="1235"/>
      <c r="Z261" s="1235"/>
      <c r="AA261" s="1235"/>
      <c r="AB261" s="1235"/>
      <c r="AC261" s="1235"/>
      <c r="AD261" s="1235"/>
      <c r="AE261" s="1235"/>
      <c r="AF261" s="1235"/>
      <c r="AG261" s="1235"/>
      <c r="AH261" s="1235"/>
      <c r="AI261" s="1235"/>
      <c r="AJ261" s="1235"/>
    </row>
    <row r="262" spans="1:36" s="1232" customFormat="1">
      <c r="A262" s="1255" t="s">
        <v>237</v>
      </c>
      <c r="B262" s="1230">
        <v>37650224.829999998</v>
      </c>
      <c r="C262" s="1246">
        <v>2.009E-2</v>
      </c>
      <c r="D262" s="1311">
        <v>920517.34</v>
      </c>
      <c r="E262" s="1246">
        <v>1.2619999999999999E-2</v>
      </c>
      <c r="F262" s="1247">
        <v>368</v>
      </c>
      <c r="G262" s="1246">
        <v>2.044E-2</v>
      </c>
      <c r="M262" s="1235"/>
      <c r="N262" s="1235"/>
      <c r="O262" s="1235"/>
      <c r="P262" s="1235"/>
      <c r="Q262" s="1235"/>
      <c r="R262" s="1235"/>
      <c r="S262" s="1235"/>
      <c r="T262" s="1235"/>
      <c r="U262" s="1235"/>
      <c r="V262" s="1235"/>
      <c r="W262" s="1235"/>
      <c r="X262" s="1235"/>
      <c r="Y262" s="1235"/>
      <c r="Z262" s="1235"/>
      <c r="AA262" s="1235"/>
      <c r="AB262" s="1235"/>
      <c r="AC262" s="1235"/>
      <c r="AD262" s="1235"/>
      <c r="AE262" s="1235"/>
      <c r="AF262" s="1235"/>
      <c r="AG262" s="1235"/>
      <c r="AH262" s="1235"/>
      <c r="AI262" s="1235"/>
      <c r="AJ262" s="1235"/>
    </row>
    <row r="263" spans="1:36" s="1232" customFormat="1">
      <c r="A263" s="1255" t="s">
        <v>428</v>
      </c>
      <c r="B263" s="1230">
        <v>18474494.739999998</v>
      </c>
      <c r="C263" s="1246">
        <v>9.8600000000000007E-3</v>
      </c>
      <c r="D263" s="1311">
        <v>166918.26999999999</v>
      </c>
      <c r="E263" s="1246">
        <v>2.2899999999999999E-3</v>
      </c>
      <c r="F263" s="1247">
        <v>153</v>
      </c>
      <c r="G263" s="1246">
        <v>8.5000000000000006E-3</v>
      </c>
      <c r="M263" s="1235"/>
      <c r="N263" s="1235"/>
      <c r="O263" s="1235"/>
      <c r="P263" s="1235"/>
      <c r="Q263" s="1235"/>
      <c r="R263" s="1235"/>
      <c r="S263" s="1235"/>
      <c r="T263" s="1235"/>
      <c r="U263" s="1235"/>
      <c r="V263" s="1235"/>
      <c r="W263" s="1235"/>
      <c r="X263" s="1235"/>
      <c r="Y263" s="1235"/>
      <c r="Z263" s="1235"/>
      <c r="AA263" s="1235"/>
      <c r="AB263" s="1235"/>
      <c r="AC263" s="1235"/>
      <c r="AD263" s="1235"/>
      <c r="AE263" s="1235"/>
      <c r="AF263" s="1235"/>
      <c r="AG263" s="1235"/>
      <c r="AH263" s="1235"/>
      <c r="AI263" s="1235"/>
      <c r="AJ263" s="1235"/>
    </row>
    <row r="264" spans="1:36" s="1232" customFormat="1">
      <c r="A264" s="1255" t="s">
        <v>794</v>
      </c>
      <c r="B264" s="1230">
        <v>4976388.22</v>
      </c>
      <c r="C264" s="1246">
        <v>2.66E-3</v>
      </c>
      <c r="D264" s="1311">
        <v>293090.63</v>
      </c>
      <c r="E264" s="1246">
        <v>4.0200000000000001E-3</v>
      </c>
      <c r="F264" s="1247">
        <v>54</v>
      </c>
      <c r="G264" s="1246">
        <v>3.0000000000000001E-3</v>
      </c>
      <c r="M264" s="1235"/>
      <c r="N264" s="1235"/>
      <c r="O264" s="1235"/>
      <c r="P264" s="1235"/>
      <c r="Q264" s="1235"/>
      <c r="R264" s="1235"/>
      <c r="S264" s="1235"/>
      <c r="T264" s="1235"/>
      <c r="U264" s="1235"/>
      <c r="V264" s="1235"/>
      <c r="W264" s="1235"/>
      <c r="X264" s="1235"/>
      <c r="Y264" s="1235"/>
      <c r="Z264" s="1235"/>
      <c r="AA264" s="1235"/>
      <c r="AB264" s="1235"/>
      <c r="AC264" s="1235"/>
      <c r="AD264" s="1235"/>
      <c r="AE264" s="1235"/>
      <c r="AF264" s="1235"/>
      <c r="AG264" s="1235"/>
      <c r="AH264" s="1235"/>
      <c r="AI264" s="1235"/>
      <c r="AJ264" s="1235"/>
    </row>
    <row r="265" spans="1:36" s="1232" customFormat="1">
      <c r="A265" s="1255" t="s">
        <v>401</v>
      </c>
      <c r="B265" s="1230">
        <v>10651733.51</v>
      </c>
      <c r="C265" s="1246">
        <v>5.6800000000000002E-3</v>
      </c>
      <c r="D265" s="1311">
        <v>373371.77</v>
      </c>
      <c r="E265" s="1246">
        <v>5.1200000000000004E-3</v>
      </c>
      <c r="F265" s="1247">
        <v>98</v>
      </c>
      <c r="G265" s="1246">
        <v>5.4400000000000004E-3</v>
      </c>
      <c r="M265" s="1235"/>
      <c r="N265" s="1235"/>
      <c r="O265" s="1235"/>
      <c r="P265" s="1235"/>
      <c r="Q265" s="1235"/>
      <c r="R265" s="1235"/>
      <c r="S265" s="1235"/>
      <c r="T265" s="1235"/>
      <c r="U265" s="1235"/>
      <c r="V265" s="1235"/>
      <c r="W265" s="1235"/>
      <c r="X265" s="1235"/>
      <c r="Y265" s="1235"/>
      <c r="Z265" s="1235"/>
      <c r="AA265" s="1235"/>
      <c r="AB265" s="1235"/>
      <c r="AC265" s="1235"/>
      <c r="AD265" s="1235"/>
      <c r="AE265" s="1235"/>
      <c r="AF265" s="1235"/>
      <c r="AG265" s="1235"/>
      <c r="AH265" s="1235"/>
      <c r="AI265" s="1235"/>
      <c r="AJ265" s="1235"/>
    </row>
    <row r="266" spans="1:36" s="1232" customFormat="1">
      <c r="A266" s="1255" t="s">
        <v>238</v>
      </c>
      <c r="B266" s="1230">
        <v>15573931.310000001</v>
      </c>
      <c r="C266" s="1246">
        <v>8.3099999999999997E-3</v>
      </c>
      <c r="D266" s="1311">
        <v>596398.06999999995</v>
      </c>
      <c r="E266" s="1246">
        <v>8.1799999999999998E-3</v>
      </c>
      <c r="F266" s="1247">
        <v>154</v>
      </c>
      <c r="G266" s="1246">
        <v>8.5500000000000003E-3</v>
      </c>
      <c r="M266" s="1235"/>
      <c r="N266" s="1235"/>
      <c r="O266" s="1235"/>
      <c r="P266" s="1235"/>
      <c r="Q266" s="1235"/>
      <c r="R266" s="1235"/>
      <c r="S266" s="1235"/>
      <c r="T266" s="1235"/>
      <c r="U266" s="1235"/>
      <c r="V266" s="1235"/>
      <c r="W266" s="1235"/>
      <c r="X266" s="1235"/>
      <c r="Y266" s="1235"/>
      <c r="Z266" s="1235"/>
      <c r="AA266" s="1235"/>
      <c r="AB266" s="1235"/>
      <c r="AC266" s="1235"/>
      <c r="AD266" s="1235"/>
      <c r="AE266" s="1235"/>
      <c r="AF266" s="1235"/>
      <c r="AG266" s="1235"/>
      <c r="AH266" s="1235"/>
      <c r="AI266" s="1235"/>
      <c r="AJ266" s="1235"/>
    </row>
    <row r="267" spans="1:36" s="1232" customFormat="1">
      <c r="A267" s="1255" t="s">
        <v>39</v>
      </c>
      <c r="B267" s="1230">
        <v>4173838.32</v>
      </c>
      <c r="C267" s="1246">
        <v>2.2300000000000002E-3</v>
      </c>
      <c r="D267" s="1311">
        <v>82431.350000000006</v>
      </c>
      <c r="E267" s="1246">
        <v>1.1299999999999999E-3</v>
      </c>
      <c r="F267" s="1247">
        <v>37</v>
      </c>
      <c r="G267" s="1246">
        <v>2.0500000000000002E-3</v>
      </c>
      <c r="M267" s="1235"/>
      <c r="N267" s="1235"/>
      <c r="O267" s="1235"/>
      <c r="P267" s="1235"/>
      <c r="Q267" s="1235"/>
      <c r="R267" s="1235"/>
      <c r="S267" s="1235"/>
      <c r="T267" s="1235"/>
      <c r="U267" s="1235"/>
      <c r="V267" s="1235"/>
      <c r="W267" s="1235"/>
      <c r="X267" s="1235"/>
      <c r="Y267" s="1235"/>
      <c r="Z267" s="1235"/>
      <c r="AA267" s="1235"/>
      <c r="AB267" s="1235"/>
      <c r="AC267" s="1235"/>
      <c r="AD267" s="1235"/>
      <c r="AE267" s="1235"/>
      <c r="AF267" s="1235"/>
      <c r="AG267" s="1235"/>
      <c r="AH267" s="1235"/>
      <c r="AI267" s="1235"/>
      <c r="AJ267" s="1235"/>
    </row>
    <row r="268" spans="1:36" s="1232" customFormat="1">
      <c r="A268" s="1255" t="s">
        <v>239</v>
      </c>
      <c r="B268" s="1230">
        <v>7647539.4000000004</v>
      </c>
      <c r="C268" s="1246">
        <v>4.0800000000000003E-3</v>
      </c>
      <c r="D268" s="1311">
        <v>105505.83</v>
      </c>
      <c r="E268" s="1246">
        <v>1.4499999999999999E-3</v>
      </c>
      <c r="F268" s="1247">
        <v>67</v>
      </c>
      <c r="G268" s="1246">
        <v>3.7200000000000002E-3</v>
      </c>
      <c r="M268" s="1235"/>
      <c r="N268" s="1235"/>
      <c r="O268" s="1235"/>
      <c r="P268" s="1235"/>
      <c r="Q268" s="1235"/>
      <c r="R268" s="1235"/>
      <c r="S268" s="1235"/>
      <c r="T268" s="1235"/>
      <c r="U268" s="1235"/>
      <c r="V268" s="1235"/>
      <c r="W268" s="1235"/>
      <c r="X268" s="1235"/>
      <c r="Y268" s="1235"/>
      <c r="Z268" s="1235"/>
      <c r="AA268" s="1235"/>
      <c r="AB268" s="1235"/>
      <c r="AC268" s="1235"/>
      <c r="AD268" s="1235"/>
      <c r="AE268" s="1235"/>
      <c r="AF268" s="1235"/>
      <c r="AG268" s="1235"/>
      <c r="AH268" s="1235"/>
      <c r="AI268" s="1235"/>
      <c r="AJ268" s="1235"/>
    </row>
    <row r="269" spans="1:36" s="1232" customFormat="1">
      <c r="A269" s="1255" t="s">
        <v>240</v>
      </c>
      <c r="B269" s="1230">
        <v>107804953.56</v>
      </c>
      <c r="C269" s="1246">
        <v>5.7520000000000002E-2</v>
      </c>
      <c r="D269" s="1311">
        <v>7636137.0800000001</v>
      </c>
      <c r="E269" s="1246">
        <v>0.10468</v>
      </c>
      <c r="F269" s="1247">
        <v>1122</v>
      </c>
      <c r="G269" s="1246">
        <v>6.2309999999999997E-2</v>
      </c>
      <c r="M269" s="1235"/>
      <c r="N269" s="1235"/>
      <c r="O269" s="1235"/>
      <c r="P269" s="1235"/>
      <c r="Q269" s="1235"/>
      <c r="R269" s="1235"/>
      <c r="S269" s="1235"/>
      <c r="T269" s="1235"/>
      <c r="U269" s="1235"/>
      <c r="V269" s="1235"/>
      <c r="W269" s="1235"/>
      <c r="X269" s="1235"/>
      <c r="Y269" s="1235"/>
      <c r="Z269" s="1235"/>
      <c r="AA269" s="1235"/>
      <c r="AB269" s="1235"/>
      <c r="AC269" s="1235"/>
      <c r="AD269" s="1235"/>
      <c r="AE269" s="1235"/>
      <c r="AF269" s="1235"/>
      <c r="AG269" s="1235"/>
      <c r="AH269" s="1235"/>
      <c r="AI269" s="1235"/>
      <c r="AJ269" s="1235"/>
    </row>
    <row r="270" spans="1:36" s="1232" customFormat="1">
      <c r="A270" s="1255" t="s">
        <v>241</v>
      </c>
      <c r="B270" s="1230">
        <v>22656229.710000001</v>
      </c>
      <c r="C270" s="1246">
        <v>1.209E-2</v>
      </c>
      <c r="D270" s="1311">
        <v>1119738.0900000001</v>
      </c>
      <c r="E270" s="1246">
        <v>1.5350000000000001E-2</v>
      </c>
      <c r="F270" s="1247">
        <v>205</v>
      </c>
      <c r="G270" s="1246">
        <v>1.1390000000000001E-2</v>
      </c>
      <c r="M270" s="1235"/>
      <c r="N270" s="1235"/>
      <c r="O270" s="1235"/>
      <c r="P270" s="1235"/>
      <c r="Q270" s="1235"/>
      <c r="R270" s="1235"/>
      <c r="S270" s="1235"/>
      <c r="T270" s="1235"/>
      <c r="U270" s="1235"/>
      <c r="V270" s="1235"/>
      <c r="W270" s="1235"/>
      <c r="X270" s="1235"/>
      <c r="Y270" s="1235"/>
      <c r="Z270" s="1235"/>
      <c r="AA270" s="1235"/>
      <c r="AB270" s="1235"/>
      <c r="AC270" s="1235"/>
      <c r="AD270" s="1235"/>
      <c r="AE270" s="1235"/>
      <c r="AF270" s="1235"/>
      <c r="AG270" s="1235"/>
      <c r="AH270" s="1235"/>
      <c r="AI270" s="1235"/>
      <c r="AJ270" s="1235"/>
    </row>
    <row r="271" spans="1:36" s="1232" customFormat="1">
      <c r="A271" s="1255" t="s">
        <v>242</v>
      </c>
      <c r="B271" s="1230">
        <v>129127406.79000001</v>
      </c>
      <c r="C271" s="1246">
        <v>6.8900000000000003E-2</v>
      </c>
      <c r="D271" s="1311">
        <v>6225546.6500000004</v>
      </c>
      <c r="E271" s="1246">
        <v>8.5339999999999999E-2</v>
      </c>
      <c r="F271" s="1247">
        <v>1306</v>
      </c>
      <c r="G271" s="1246">
        <v>7.2529999999999997E-2</v>
      </c>
      <c r="M271" s="1235"/>
      <c r="N271" s="1235"/>
      <c r="O271" s="1235"/>
      <c r="P271" s="1235"/>
      <c r="Q271" s="1235"/>
      <c r="R271" s="1235"/>
      <c r="S271" s="1235"/>
      <c r="T271" s="1235"/>
      <c r="U271" s="1235"/>
      <c r="V271" s="1235"/>
      <c r="W271" s="1235"/>
      <c r="X271" s="1235"/>
      <c r="Y271" s="1235"/>
      <c r="Z271" s="1235"/>
      <c r="AA271" s="1235"/>
      <c r="AB271" s="1235"/>
      <c r="AC271" s="1235"/>
      <c r="AD271" s="1235"/>
      <c r="AE271" s="1235"/>
      <c r="AF271" s="1235"/>
      <c r="AG271" s="1235"/>
      <c r="AH271" s="1235"/>
      <c r="AI271" s="1235"/>
      <c r="AJ271" s="1235"/>
    </row>
    <row r="272" spans="1:36" s="1232" customFormat="1">
      <c r="A272" s="1255" t="s">
        <v>243</v>
      </c>
      <c r="B272" s="1230">
        <v>235151095.65000001</v>
      </c>
      <c r="C272" s="1246">
        <v>0.12547</v>
      </c>
      <c r="D272" s="1311">
        <v>15301340.140000001</v>
      </c>
      <c r="E272" s="1246">
        <v>0.20976</v>
      </c>
      <c r="F272" s="1247">
        <v>2474</v>
      </c>
      <c r="G272" s="1246">
        <v>0.13739999999999999</v>
      </c>
      <c r="I272" s="1312"/>
      <c r="M272" s="1235"/>
      <c r="N272" s="1235"/>
      <c r="O272" s="1235"/>
      <c r="P272" s="1235"/>
      <c r="Q272" s="1235"/>
      <c r="R272" s="1235"/>
      <c r="S272" s="1235"/>
      <c r="T272" s="1235"/>
      <c r="U272" s="1235"/>
      <c r="V272" s="1235"/>
      <c r="W272" s="1235"/>
      <c r="X272" s="1235"/>
      <c r="Y272" s="1235"/>
      <c r="Z272" s="1235"/>
      <c r="AA272" s="1235"/>
      <c r="AB272" s="1235"/>
      <c r="AC272" s="1235"/>
      <c r="AD272" s="1235"/>
      <c r="AE272" s="1235"/>
      <c r="AF272" s="1235"/>
      <c r="AG272" s="1235"/>
      <c r="AH272" s="1235"/>
      <c r="AI272" s="1235"/>
      <c r="AJ272" s="1235"/>
    </row>
    <row r="273" spans="1:256" s="1232" customFormat="1">
      <c r="A273" s="1255" t="s">
        <v>244</v>
      </c>
      <c r="B273" s="1230">
        <v>209620621.50999999</v>
      </c>
      <c r="C273" s="1246">
        <v>0.11185</v>
      </c>
      <c r="D273" s="1311">
        <v>13025057.810000001</v>
      </c>
      <c r="E273" s="1246">
        <v>0.17856</v>
      </c>
      <c r="F273" s="1247">
        <v>2272</v>
      </c>
      <c r="G273" s="1246">
        <v>0.12617999999999999</v>
      </c>
      <c r="M273" s="1235"/>
      <c r="N273" s="1235"/>
      <c r="O273" s="1235"/>
      <c r="P273" s="1235"/>
      <c r="Q273" s="1235"/>
      <c r="R273" s="1235"/>
      <c r="S273" s="1235"/>
      <c r="T273" s="1235"/>
      <c r="U273" s="1235"/>
      <c r="V273" s="1235"/>
      <c r="W273" s="1235"/>
      <c r="X273" s="1235"/>
      <c r="Y273" s="1235"/>
      <c r="Z273" s="1235"/>
      <c r="AA273" s="1235"/>
      <c r="AB273" s="1235"/>
      <c r="AC273" s="1235"/>
      <c r="AD273" s="1235"/>
      <c r="AE273" s="1235"/>
      <c r="AF273" s="1235"/>
      <c r="AG273" s="1235"/>
      <c r="AH273" s="1235"/>
      <c r="AI273" s="1235"/>
      <c r="AJ273" s="1235"/>
    </row>
    <row r="274" spans="1:256" s="1232" customFormat="1">
      <c r="A274" s="1255" t="s">
        <v>731</v>
      </c>
      <c r="B274" s="1230">
        <v>36192107.060000002</v>
      </c>
      <c r="C274" s="1246">
        <v>1.9310000000000001E-2</v>
      </c>
      <c r="D274" s="1311">
        <v>2285792.9500000002</v>
      </c>
      <c r="E274" s="1246">
        <v>3.1329999999999997E-2</v>
      </c>
      <c r="F274" s="1247">
        <v>403</v>
      </c>
      <c r="G274" s="1246">
        <v>2.2380000000000001E-2</v>
      </c>
      <c r="M274" s="1235"/>
      <c r="N274" s="1235"/>
      <c r="O274" s="1235"/>
      <c r="P274" s="1235"/>
      <c r="Q274" s="1235"/>
      <c r="R274" s="1235"/>
      <c r="S274" s="1235"/>
      <c r="T274" s="1235"/>
      <c r="U274" s="1235"/>
      <c r="V274" s="1235"/>
      <c r="W274" s="1235"/>
      <c r="X274" s="1235"/>
      <c r="Y274" s="1235"/>
      <c r="Z274" s="1235"/>
      <c r="AA274" s="1235"/>
      <c r="AB274" s="1235"/>
      <c r="AC274" s="1235"/>
      <c r="AD274" s="1235"/>
      <c r="AE274" s="1235"/>
      <c r="AF274" s="1235"/>
      <c r="AG274" s="1235"/>
      <c r="AH274" s="1235"/>
      <c r="AI274" s="1235"/>
      <c r="AJ274" s="1235"/>
    </row>
    <row r="275" spans="1:256" s="1232" customFormat="1">
      <c r="A275" s="1255" t="s">
        <v>949</v>
      </c>
      <c r="B275" s="1230">
        <v>43388299.57</v>
      </c>
      <c r="C275" s="1246">
        <v>2.315E-2</v>
      </c>
      <c r="D275" s="1311">
        <v>1638057.94</v>
      </c>
      <c r="E275" s="1246">
        <v>2.2460000000000001E-2</v>
      </c>
      <c r="F275" s="1247">
        <v>414</v>
      </c>
      <c r="G275" s="1246">
        <v>2.299E-2</v>
      </c>
      <c r="M275" s="1235"/>
      <c r="N275" s="1235"/>
      <c r="O275" s="1235"/>
      <c r="P275" s="1235"/>
      <c r="Q275" s="1235"/>
      <c r="R275" s="1235"/>
      <c r="S275" s="1235"/>
      <c r="T275" s="1235"/>
      <c r="U275" s="1235"/>
      <c r="V275" s="1235"/>
      <c r="W275" s="1235"/>
      <c r="X275" s="1235"/>
      <c r="Y275" s="1235"/>
      <c r="Z275" s="1235"/>
      <c r="AA275" s="1235"/>
      <c r="AB275" s="1235"/>
      <c r="AC275" s="1235"/>
      <c r="AD275" s="1235"/>
      <c r="AE275" s="1235"/>
      <c r="AF275" s="1235"/>
      <c r="AG275" s="1235"/>
      <c r="AH275" s="1235"/>
      <c r="AI275" s="1235"/>
      <c r="AJ275" s="1235"/>
    </row>
    <row r="276" spans="1:256" s="1232" customFormat="1">
      <c r="A276" s="1255" t="s">
        <v>971</v>
      </c>
      <c r="B276" s="1230">
        <v>21983550.030000001</v>
      </c>
      <c r="C276" s="1246">
        <v>1.1730000000000001E-2</v>
      </c>
      <c r="D276" s="1311">
        <v>1155262.45</v>
      </c>
      <c r="E276" s="1246">
        <v>1.584E-2</v>
      </c>
      <c r="F276" s="1247">
        <v>226</v>
      </c>
      <c r="G276" s="1246">
        <v>1.255E-2</v>
      </c>
      <c r="M276" s="1235"/>
      <c r="N276" s="1235"/>
      <c r="O276" s="1235"/>
      <c r="P276" s="1235"/>
      <c r="Q276" s="1235"/>
      <c r="R276" s="1235"/>
      <c r="S276" s="1235"/>
      <c r="T276" s="1235"/>
      <c r="U276" s="1235"/>
      <c r="V276" s="1235"/>
      <c r="W276" s="1235"/>
      <c r="X276" s="1235"/>
      <c r="Y276" s="1235"/>
      <c r="Z276" s="1235"/>
      <c r="AA276" s="1235"/>
      <c r="AB276" s="1235"/>
      <c r="AC276" s="1235"/>
      <c r="AD276" s="1235"/>
      <c r="AE276" s="1235"/>
      <c r="AF276" s="1235"/>
      <c r="AG276" s="1235"/>
      <c r="AH276" s="1235"/>
      <c r="AI276" s="1235"/>
      <c r="AJ276" s="1235"/>
    </row>
    <row r="277" spans="1:256" s="1232" customFormat="1">
      <c r="A277" s="1255" t="s">
        <v>564</v>
      </c>
      <c r="B277" s="1230">
        <v>20756312.949999999</v>
      </c>
      <c r="C277" s="1246">
        <v>1.108E-2</v>
      </c>
      <c r="D277" s="1311">
        <v>1165022.07</v>
      </c>
      <c r="E277" s="1246">
        <v>1.5970000000000002E-2</v>
      </c>
      <c r="F277" s="1247">
        <v>212</v>
      </c>
      <c r="G277" s="1246">
        <v>1.1769999999999999E-2</v>
      </c>
      <c r="M277" s="1235"/>
      <c r="N277" s="1235"/>
      <c r="O277" s="1235"/>
      <c r="P277" s="1235"/>
      <c r="Q277" s="1235"/>
      <c r="R277" s="1235"/>
      <c r="S277" s="1235"/>
      <c r="T277" s="1235"/>
      <c r="U277" s="1235"/>
      <c r="V277" s="1235"/>
      <c r="W277" s="1235"/>
      <c r="X277" s="1235"/>
      <c r="Y277" s="1235"/>
      <c r="Z277" s="1235"/>
      <c r="AA277" s="1235"/>
      <c r="AB277" s="1235"/>
      <c r="AC277" s="1235"/>
      <c r="AD277" s="1235"/>
      <c r="AE277" s="1235"/>
      <c r="AF277" s="1235"/>
      <c r="AG277" s="1235"/>
      <c r="AH277" s="1235"/>
      <c r="AI277" s="1235"/>
      <c r="AJ277" s="1235"/>
    </row>
    <row r="278" spans="1:256" s="1232" customFormat="1">
      <c r="A278" s="1255" t="s">
        <v>75</v>
      </c>
      <c r="B278" s="1230">
        <v>180748514.16999999</v>
      </c>
      <c r="C278" s="1246">
        <v>9.6439999999999998E-2</v>
      </c>
      <c r="D278" s="1311">
        <v>5600896.5999999996</v>
      </c>
      <c r="E278" s="1246">
        <v>7.6780000000000001E-2</v>
      </c>
      <c r="F278" s="1247">
        <v>1864</v>
      </c>
      <c r="G278" s="1246">
        <v>0.10352</v>
      </c>
      <c r="M278" s="1235"/>
      <c r="N278" s="1235"/>
      <c r="O278" s="1235"/>
      <c r="P278" s="1235"/>
      <c r="Q278" s="1235"/>
      <c r="R278" s="1235"/>
      <c r="S278" s="1235"/>
      <c r="T278" s="1235"/>
      <c r="U278" s="1235"/>
      <c r="V278" s="1235"/>
      <c r="W278" s="1235"/>
      <c r="X278" s="1235"/>
      <c r="Y278" s="1235"/>
      <c r="Z278" s="1235"/>
      <c r="AA278" s="1235"/>
      <c r="AB278" s="1235"/>
      <c r="AC278" s="1235"/>
      <c r="AD278" s="1235"/>
      <c r="AE278" s="1235"/>
      <c r="AF278" s="1235"/>
      <c r="AG278" s="1235"/>
      <c r="AH278" s="1235"/>
      <c r="AI278" s="1235"/>
      <c r="AJ278" s="1235"/>
    </row>
    <row r="279" spans="1:256" s="1232" customFormat="1">
      <c r="A279" s="1255" t="s">
        <v>222</v>
      </c>
      <c r="B279" s="1230">
        <v>6355210.9000000004</v>
      </c>
      <c r="C279" s="1246">
        <v>3.3899999999999998E-3</v>
      </c>
      <c r="D279" s="1311">
        <v>252961.35</v>
      </c>
      <c r="E279" s="1246">
        <v>3.47E-3</v>
      </c>
      <c r="F279" s="1247">
        <v>91</v>
      </c>
      <c r="G279" s="1246">
        <v>5.0499999999999998E-3</v>
      </c>
      <c r="M279" s="1235"/>
      <c r="N279" s="1235"/>
      <c r="O279" s="1235"/>
      <c r="P279" s="1235"/>
      <c r="Q279" s="1235"/>
      <c r="R279" s="1235"/>
      <c r="S279" s="1235"/>
      <c r="T279" s="1235"/>
      <c r="U279" s="1235"/>
      <c r="V279" s="1235"/>
      <c r="W279" s="1235"/>
      <c r="X279" s="1235"/>
      <c r="Y279" s="1235"/>
      <c r="Z279" s="1235"/>
      <c r="AA279" s="1235"/>
      <c r="AB279" s="1235"/>
      <c r="AC279" s="1235"/>
      <c r="AD279" s="1235"/>
      <c r="AE279" s="1235"/>
      <c r="AF279" s="1235"/>
      <c r="AG279" s="1235"/>
      <c r="AH279" s="1235"/>
      <c r="AI279" s="1235"/>
      <c r="AJ279" s="1235"/>
    </row>
    <row r="280" spans="1:256" s="1232" customFormat="1">
      <c r="A280" s="1255" t="s">
        <v>891</v>
      </c>
      <c r="B280" s="1230">
        <v>564342.85</v>
      </c>
      <c r="C280" s="1246">
        <v>2.9999999999999997E-4</v>
      </c>
      <c r="D280" s="1311">
        <v>26924.65</v>
      </c>
      <c r="E280" s="1246">
        <v>3.6999999999999999E-4</v>
      </c>
      <c r="F280" s="1247">
        <v>7</v>
      </c>
      <c r="G280" s="1246">
        <v>3.8999999999999999E-4</v>
      </c>
      <c r="M280" s="1235"/>
      <c r="N280" s="1235"/>
      <c r="O280" s="1235"/>
      <c r="P280" s="1235"/>
      <c r="Q280" s="1235"/>
      <c r="R280" s="1235"/>
      <c r="S280" s="1235"/>
      <c r="T280" s="1235"/>
      <c r="U280" s="1235"/>
      <c r="V280" s="1235"/>
      <c r="W280" s="1235"/>
      <c r="X280" s="1235"/>
      <c r="Y280" s="1235"/>
      <c r="Z280" s="1235"/>
      <c r="AA280" s="1235"/>
      <c r="AB280" s="1235"/>
      <c r="AC280" s="1235"/>
      <c r="AD280" s="1235"/>
      <c r="AE280" s="1235"/>
      <c r="AF280" s="1235"/>
      <c r="AG280" s="1235"/>
      <c r="AH280" s="1235"/>
      <c r="AI280" s="1235"/>
      <c r="AJ280" s="1235"/>
    </row>
    <row r="281" spans="1:256" s="1232" customFormat="1" ht="13.5" thickBot="1">
      <c r="A281" s="1264" t="s">
        <v>814</v>
      </c>
      <c r="B281" s="1253">
        <v>1874153635.1400001</v>
      </c>
      <c r="C281" s="1250">
        <v>1.0000200000000001</v>
      </c>
      <c r="D281" s="1253">
        <v>72946996.25</v>
      </c>
      <c r="E281" s="1250">
        <v>1.00003</v>
      </c>
      <c r="F281" s="1253">
        <v>18006</v>
      </c>
      <c r="G281" s="1250">
        <v>0.99997999999999976</v>
      </c>
      <c r="H281" s="1288"/>
      <c r="I281" s="1288"/>
      <c r="J281" s="1288"/>
      <c r="K281" s="1288"/>
      <c r="M281" s="1235"/>
      <c r="N281" s="1235"/>
      <c r="O281" s="1235"/>
      <c r="P281" s="1235"/>
      <c r="Q281" s="1235"/>
      <c r="R281" s="1235"/>
      <c r="S281" s="1235"/>
      <c r="T281" s="1235"/>
      <c r="U281" s="1235"/>
      <c r="V281" s="1235"/>
      <c r="W281" s="1235"/>
      <c r="X281" s="1235"/>
      <c r="Y281" s="1235"/>
      <c r="Z281" s="1235"/>
      <c r="AA281" s="1235"/>
      <c r="AB281" s="1235"/>
      <c r="AC281" s="1235"/>
      <c r="AD281" s="1235"/>
      <c r="AE281" s="1235"/>
      <c r="AF281" s="1235"/>
      <c r="AG281" s="1235"/>
      <c r="AH281" s="1235"/>
      <c r="AI281" s="1235"/>
      <c r="AJ281" s="1235"/>
    </row>
    <row r="282" spans="1:256" s="1232" customFormat="1" ht="13.5" thickTop="1">
      <c r="H282" s="1235"/>
      <c r="I282" s="1235"/>
      <c r="J282" s="1235"/>
      <c r="K282" s="1235"/>
      <c r="L282" s="1288"/>
      <c r="M282" s="1235"/>
      <c r="N282" s="1235"/>
      <c r="O282" s="1235"/>
      <c r="P282" s="1235"/>
      <c r="Q282" s="1235"/>
      <c r="R282" s="1235"/>
      <c r="S282" s="1235"/>
      <c r="T282" s="1235"/>
      <c r="U282" s="1235"/>
      <c r="V282" s="1235"/>
      <c r="W282" s="1235"/>
      <c r="X282" s="1235"/>
      <c r="Y282" s="1235"/>
      <c r="Z282" s="1235"/>
      <c r="AA282" s="1235"/>
      <c r="AB282" s="1235"/>
      <c r="AC282" s="1235"/>
      <c r="AD282" s="1235"/>
      <c r="AE282" s="1235"/>
      <c r="AF282" s="1235"/>
      <c r="AG282" s="1235"/>
      <c r="AH282" s="1235"/>
      <c r="AI282" s="1235"/>
      <c r="AJ282" s="1235"/>
    </row>
    <row r="283" spans="1:256" s="1232" customFormat="1">
      <c r="A283" s="1254"/>
      <c r="B283" s="1230"/>
      <c r="C283" s="1246"/>
      <c r="D283" s="1311"/>
      <c r="E283" s="1246"/>
      <c r="F283" s="1247"/>
      <c r="G283" s="1246"/>
      <c r="H283" s="1235"/>
      <c r="I283" s="1235"/>
      <c r="J283" s="1235"/>
      <c r="K283" s="1235"/>
      <c r="L283" s="1288"/>
      <c r="M283" s="1235"/>
      <c r="N283" s="1235"/>
      <c r="O283" s="1235"/>
      <c r="P283" s="1235"/>
      <c r="Q283" s="1235"/>
      <c r="R283" s="1235"/>
      <c r="S283" s="1235"/>
      <c r="T283" s="1235"/>
      <c r="U283" s="1235"/>
      <c r="V283" s="1235"/>
      <c r="W283" s="1235"/>
      <c r="X283" s="1235"/>
      <c r="Y283" s="1235"/>
      <c r="Z283" s="1235"/>
      <c r="AA283" s="1235"/>
      <c r="AB283" s="1235"/>
      <c r="AC283" s="1235"/>
      <c r="AD283" s="1235"/>
      <c r="AE283" s="1235"/>
      <c r="AF283" s="1235"/>
      <c r="AG283" s="1235"/>
      <c r="AH283" s="1235"/>
      <c r="AI283" s="1235"/>
      <c r="AJ283" s="1235"/>
    </row>
    <row r="284" spans="1:256" s="1235" customFormat="1">
      <c r="H284" s="1232"/>
      <c r="I284" s="1232"/>
      <c r="J284" s="1232"/>
      <c r="K284" s="1232"/>
      <c r="AK284" s="1232"/>
      <c r="AL284" s="1232"/>
      <c r="AM284" s="1232"/>
      <c r="AN284" s="1232"/>
      <c r="AO284" s="1232"/>
      <c r="AP284" s="1232"/>
      <c r="AQ284" s="1232"/>
      <c r="AR284" s="1232"/>
      <c r="AS284" s="1232"/>
      <c r="AT284" s="1232"/>
      <c r="AU284" s="1232"/>
      <c r="AV284" s="1232"/>
      <c r="AW284" s="1232"/>
      <c r="AX284" s="1232"/>
      <c r="AY284" s="1232"/>
      <c r="AZ284" s="1232"/>
      <c r="BA284" s="1232"/>
      <c r="BB284" s="1232"/>
      <c r="BC284" s="1232"/>
      <c r="BD284" s="1232"/>
      <c r="BE284" s="1232"/>
      <c r="BF284" s="1232"/>
      <c r="BG284" s="1232"/>
      <c r="BH284" s="1232"/>
      <c r="BI284" s="1232"/>
      <c r="BJ284" s="1232"/>
      <c r="BK284" s="1232"/>
      <c r="BL284" s="1232"/>
      <c r="BM284" s="1232"/>
      <c r="BN284" s="1232"/>
      <c r="BO284" s="1232"/>
      <c r="BP284" s="1232"/>
      <c r="BQ284" s="1232"/>
      <c r="BR284" s="1232"/>
      <c r="BS284" s="1232"/>
      <c r="BT284" s="1232"/>
      <c r="BU284" s="1232"/>
      <c r="BV284" s="1232"/>
      <c r="BW284" s="1232"/>
      <c r="BX284" s="1232"/>
      <c r="BY284" s="1232"/>
      <c r="BZ284" s="1232"/>
      <c r="CA284" s="1232"/>
      <c r="CB284" s="1232"/>
      <c r="CC284" s="1232"/>
      <c r="CD284" s="1232"/>
      <c r="CE284" s="1232"/>
      <c r="CF284" s="1232"/>
      <c r="CG284" s="1232"/>
      <c r="CH284" s="1232"/>
      <c r="CI284" s="1232"/>
      <c r="CJ284" s="1232"/>
      <c r="CK284" s="1232"/>
      <c r="CL284" s="1232"/>
      <c r="CM284" s="1232"/>
      <c r="CN284" s="1232"/>
      <c r="CO284" s="1232"/>
      <c r="CP284" s="1232"/>
      <c r="CQ284" s="1232"/>
      <c r="CR284" s="1232"/>
      <c r="CS284" s="1232"/>
      <c r="CT284" s="1232"/>
      <c r="CU284" s="1232"/>
      <c r="CV284" s="1232"/>
      <c r="CW284" s="1232"/>
      <c r="CX284" s="1232"/>
      <c r="CY284" s="1232"/>
      <c r="CZ284" s="1232"/>
      <c r="DA284" s="1232"/>
      <c r="DB284" s="1232"/>
      <c r="DC284" s="1232"/>
      <c r="DD284" s="1232"/>
      <c r="DE284" s="1232"/>
      <c r="DF284" s="1232"/>
      <c r="DG284" s="1232"/>
      <c r="DH284" s="1232"/>
      <c r="DI284" s="1232"/>
      <c r="DJ284" s="1232"/>
      <c r="DK284" s="1232"/>
      <c r="DL284" s="1232"/>
      <c r="DM284" s="1232"/>
      <c r="DN284" s="1232"/>
      <c r="DO284" s="1232"/>
      <c r="DP284" s="1232"/>
      <c r="DQ284" s="1232"/>
      <c r="DR284" s="1232"/>
      <c r="DS284" s="1232"/>
      <c r="DT284" s="1232"/>
      <c r="DU284" s="1232"/>
      <c r="DV284" s="1232"/>
      <c r="DW284" s="1232"/>
      <c r="DX284" s="1232"/>
      <c r="DY284" s="1232"/>
      <c r="DZ284" s="1232"/>
      <c r="EA284" s="1232"/>
      <c r="EB284" s="1232"/>
      <c r="EC284" s="1232"/>
      <c r="ED284" s="1232"/>
      <c r="EE284" s="1232"/>
      <c r="EF284" s="1232"/>
      <c r="EG284" s="1232"/>
      <c r="EH284" s="1232"/>
      <c r="EI284" s="1232"/>
      <c r="EJ284" s="1232"/>
      <c r="EK284" s="1232"/>
      <c r="EL284" s="1232"/>
      <c r="EM284" s="1232"/>
      <c r="EN284" s="1232"/>
      <c r="EO284" s="1232"/>
      <c r="EP284" s="1232"/>
      <c r="EQ284" s="1232"/>
      <c r="ER284" s="1232"/>
      <c r="ES284" s="1232"/>
      <c r="ET284" s="1232"/>
      <c r="EU284" s="1232"/>
      <c r="EV284" s="1232"/>
      <c r="EW284" s="1232"/>
      <c r="EX284" s="1232"/>
      <c r="EY284" s="1232"/>
      <c r="EZ284" s="1232"/>
      <c r="FA284" s="1232"/>
      <c r="FB284" s="1232"/>
      <c r="FC284" s="1232"/>
      <c r="FD284" s="1232"/>
      <c r="FE284" s="1232"/>
      <c r="FF284" s="1232"/>
      <c r="FG284" s="1232"/>
      <c r="FH284" s="1232"/>
      <c r="FI284" s="1232"/>
      <c r="FJ284" s="1232"/>
      <c r="FK284" s="1232"/>
      <c r="FL284" s="1232"/>
      <c r="FM284" s="1232"/>
      <c r="FN284" s="1232"/>
      <c r="FO284" s="1232"/>
      <c r="FP284" s="1232"/>
      <c r="FQ284" s="1232"/>
      <c r="FR284" s="1232"/>
      <c r="FS284" s="1232"/>
      <c r="FT284" s="1232"/>
      <c r="FU284" s="1232"/>
      <c r="FV284" s="1232"/>
      <c r="FW284" s="1232"/>
      <c r="FX284" s="1232"/>
      <c r="FY284" s="1232"/>
      <c r="FZ284" s="1232"/>
      <c r="GA284" s="1232"/>
      <c r="GB284" s="1232"/>
      <c r="GC284" s="1232"/>
      <c r="GD284" s="1232"/>
      <c r="GE284" s="1232"/>
      <c r="GF284" s="1232"/>
      <c r="GG284" s="1232"/>
      <c r="GH284" s="1232"/>
      <c r="GI284" s="1232"/>
      <c r="GJ284" s="1232"/>
      <c r="GK284" s="1232"/>
      <c r="GL284" s="1232"/>
      <c r="GM284" s="1232"/>
      <c r="GN284" s="1232"/>
      <c r="GO284" s="1232"/>
      <c r="GP284" s="1232"/>
      <c r="GQ284" s="1232"/>
      <c r="GR284" s="1232"/>
      <c r="GS284" s="1232"/>
      <c r="GT284" s="1232"/>
      <c r="GU284" s="1232"/>
      <c r="GV284" s="1232"/>
      <c r="GW284" s="1232"/>
      <c r="GX284" s="1232"/>
      <c r="GY284" s="1232"/>
      <c r="GZ284" s="1232"/>
      <c r="HA284" s="1232"/>
      <c r="HB284" s="1232"/>
      <c r="HC284" s="1232"/>
      <c r="HD284" s="1232"/>
      <c r="HE284" s="1232"/>
      <c r="HF284" s="1232"/>
      <c r="HG284" s="1232"/>
      <c r="HH284" s="1232"/>
      <c r="HI284" s="1232"/>
      <c r="HJ284" s="1232"/>
      <c r="HK284" s="1232"/>
      <c r="HL284" s="1232"/>
      <c r="HM284" s="1232"/>
      <c r="HN284" s="1232"/>
      <c r="HO284" s="1232"/>
      <c r="HP284" s="1232"/>
      <c r="HQ284" s="1232"/>
      <c r="HR284" s="1232"/>
      <c r="HS284" s="1232"/>
      <c r="HT284" s="1232"/>
      <c r="HU284" s="1232"/>
      <c r="HV284" s="1232"/>
      <c r="HW284" s="1232"/>
      <c r="HX284" s="1232"/>
      <c r="HY284" s="1232"/>
      <c r="HZ284" s="1232"/>
      <c r="IA284" s="1232"/>
      <c r="IB284" s="1232"/>
      <c r="IC284" s="1232"/>
      <c r="ID284" s="1232"/>
      <c r="IE284" s="1232"/>
      <c r="IF284" s="1232"/>
      <c r="IG284" s="1232"/>
      <c r="IH284" s="1232"/>
      <c r="II284" s="1232"/>
      <c r="IJ284" s="1232"/>
      <c r="IK284" s="1232"/>
      <c r="IL284" s="1232"/>
      <c r="IM284" s="1232"/>
      <c r="IN284" s="1232"/>
      <c r="IO284" s="1232"/>
      <c r="IP284" s="1232"/>
      <c r="IQ284" s="1232"/>
      <c r="IR284" s="1232"/>
      <c r="IS284" s="1232"/>
      <c r="IT284" s="1232"/>
      <c r="IU284" s="1232"/>
      <c r="IV284" s="1232"/>
    </row>
    <row r="285" spans="1:256" s="1232" customFormat="1" ht="15.75">
      <c r="A285" s="1237" t="s">
        <v>245</v>
      </c>
      <c r="B285" s="1235"/>
      <c r="C285" s="1235"/>
      <c r="D285" s="1298"/>
      <c r="E285" s="1235"/>
      <c r="F285" s="1172"/>
      <c r="G285" s="1255"/>
      <c r="M285" s="1235"/>
      <c r="N285" s="1235"/>
      <c r="O285" s="1235"/>
      <c r="P285" s="1235"/>
      <c r="Q285" s="1235"/>
      <c r="R285" s="1235"/>
      <c r="S285" s="1235"/>
      <c r="T285" s="1235"/>
      <c r="U285" s="1235"/>
      <c r="V285" s="1235"/>
      <c r="W285" s="1235"/>
      <c r="X285" s="1235"/>
      <c r="Y285" s="1235"/>
      <c r="Z285" s="1235"/>
      <c r="AA285" s="1235"/>
      <c r="AB285" s="1235"/>
      <c r="AC285" s="1235"/>
      <c r="AD285" s="1235"/>
      <c r="AE285" s="1235"/>
      <c r="AF285" s="1235"/>
      <c r="AG285" s="1235"/>
      <c r="AH285" s="1235"/>
      <c r="AI285" s="1235"/>
      <c r="AJ285" s="1235"/>
    </row>
    <row r="286" spans="1:256" s="1232" customFormat="1" ht="25.5">
      <c r="A286" s="1290" t="s">
        <v>726</v>
      </c>
      <c r="B286" s="1240" t="s">
        <v>939</v>
      </c>
      <c r="C286" s="1241" t="s">
        <v>991</v>
      </c>
      <c r="D286" s="1301" t="s">
        <v>938</v>
      </c>
      <c r="E286" s="1241" t="s">
        <v>991</v>
      </c>
      <c r="F286" s="1240" t="s">
        <v>992</v>
      </c>
      <c r="G286" s="1241" t="s">
        <v>991</v>
      </c>
      <c r="M286" s="1235"/>
      <c r="N286" s="1235"/>
      <c r="O286" s="1235"/>
      <c r="P286" s="1235"/>
      <c r="Q286" s="1235"/>
      <c r="R286" s="1235"/>
      <c r="S286" s="1235"/>
      <c r="T286" s="1235"/>
      <c r="U286" s="1235"/>
      <c r="V286" s="1235"/>
      <c r="W286" s="1235"/>
      <c r="X286" s="1235"/>
      <c r="Y286" s="1235"/>
      <c r="Z286" s="1235"/>
      <c r="AA286" s="1235"/>
      <c r="AB286" s="1235"/>
      <c r="AC286" s="1235"/>
      <c r="AD286" s="1235"/>
      <c r="AE286" s="1235"/>
      <c r="AF286" s="1235"/>
      <c r="AG286" s="1235"/>
      <c r="AH286" s="1235"/>
      <c r="AI286" s="1235"/>
      <c r="AJ286" s="1235"/>
    </row>
    <row r="287" spans="1:256" s="1232" customFormat="1">
      <c r="A287" s="1286" t="s">
        <v>554</v>
      </c>
      <c r="B287" s="1263">
        <v>3823188836.3000002</v>
      </c>
      <c r="C287" s="1246">
        <v>0.40848000000000001</v>
      </c>
      <c r="D287" s="1263">
        <v>120944457</v>
      </c>
      <c r="E287" s="1246">
        <v>0.23215</v>
      </c>
      <c r="F287" s="1263">
        <v>29260</v>
      </c>
      <c r="G287" s="1246">
        <v>0.30681999999999998</v>
      </c>
      <c r="M287" s="1235"/>
      <c r="N287" s="1235"/>
      <c r="O287" s="1235"/>
      <c r="P287" s="1235"/>
      <c r="Q287" s="1235"/>
      <c r="R287" s="1235"/>
      <c r="S287" s="1235"/>
      <c r="T287" s="1235"/>
      <c r="U287" s="1235"/>
      <c r="V287" s="1235"/>
      <c r="W287" s="1235"/>
      <c r="X287" s="1235"/>
      <c r="Y287" s="1235"/>
      <c r="Z287" s="1235"/>
      <c r="AA287" s="1235"/>
      <c r="AB287" s="1235"/>
      <c r="AC287" s="1235"/>
      <c r="AD287" s="1235"/>
      <c r="AE287" s="1235"/>
      <c r="AF287" s="1235"/>
      <c r="AG287" s="1235"/>
      <c r="AH287" s="1235"/>
      <c r="AI287" s="1235"/>
      <c r="AJ287" s="1235"/>
    </row>
    <row r="288" spans="1:256" s="1232" customFormat="1">
      <c r="A288" s="1286" t="s">
        <v>1106</v>
      </c>
      <c r="B288" s="1263">
        <v>5536283671.3699999</v>
      </c>
      <c r="C288" s="1246">
        <v>0.59152000000000005</v>
      </c>
      <c r="D288" s="1263">
        <v>400038865.35000002</v>
      </c>
      <c r="E288" s="1246">
        <v>0.76785000000000003</v>
      </c>
      <c r="F288" s="1263">
        <v>66104</v>
      </c>
      <c r="G288" s="1246">
        <v>0.69318000000000002</v>
      </c>
      <c r="M288" s="1235"/>
      <c r="N288" s="1235"/>
      <c r="O288" s="1235"/>
      <c r="P288" s="1235"/>
      <c r="Q288" s="1235"/>
      <c r="R288" s="1235"/>
      <c r="S288" s="1235"/>
      <c r="T288" s="1235"/>
      <c r="U288" s="1235"/>
      <c r="V288" s="1235"/>
      <c r="W288" s="1235"/>
      <c r="X288" s="1235"/>
      <c r="Y288" s="1235"/>
      <c r="Z288" s="1235"/>
      <c r="AA288" s="1235"/>
      <c r="AB288" s="1235"/>
      <c r="AC288" s="1235"/>
      <c r="AD288" s="1235"/>
      <c r="AE288" s="1235"/>
      <c r="AF288" s="1235"/>
      <c r="AG288" s="1235"/>
      <c r="AH288" s="1235"/>
      <c r="AI288" s="1235"/>
      <c r="AJ288" s="1235"/>
    </row>
    <row r="289" spans="1:36" s="1232" customFormat="1" ht="13.5" thickBot="1">
      <c r="A289" s="1264" t="s">
        <v>814</v>
      </c>
      <c r="B289" s="1313">
        <v>9359472507.6700001</v>
      </c>
      <c r="C289" s="1250">
        <v>1</v>
      </c>
      <c r="D289" s="1313">
        <v>520983322.35000002</v>
      </c>
      <c r="E289" s="1250">
        <v>1</v>
      </c>
      <c r="F289" s="1313">
        <v>95364</v>
      </c>
      <c r="G289" s="1250">
        <v>1</v>
      </c>
      <c r="M289" s="1235"/>
      <c r="N289" s="1235"/>
      <c r="O289" s="1235"/>
      <c r="P289" s="1235"/>
      <c r="Q289" s="1235"/>
      <c r="R289" s="1235"/>
      <c r="S289" s="1235"/>
      <c r="T289" s="1235"/>
      <c r="U289" s="1235"/>
      <c r="V289" s="1235"/>
      <c r="W289" s="1235"/>
      <c r="X289" s="1235"/>
      <c r="Y289" s="1235"/>
      <c r="Z289" s="1235"/>
      <c r="AA289" s="1235"/>
      <c r="AB289" s="1235"/>
      <c r="AC289" s="1235"/>
      <c r="AD289" s="1235"/>
      <c r="AE289" s="1235"/>
      <c r="AF289" s="1235"/>
      <c r="AG289" s="1235"/>
      <c r="AH289" s="1235"/>
      <c r="AI289" s="1235"/>
      <c r="AJ289" s="1235"/>
    </row>
    <row r="290" spans="1:36" s="1232" customFormat="1" ht="13.5" thickTop="1">
      <c r="A290" s="1280"/>
      <c r="B290" s="1230"/>
      <c r="C290" s="1231"/>
      <c r="D290" s="1230"/>
      <c r="E290" s="1231"/>
      <c r="M290" s="1235"/>
      <c r="N290" s="1235"/>
      <c r="O290" s="1235"/>
      <c r="P290" s="1235"/>
      <c r="Q290" s="1235"/>
      <c r="R290" s="1235"/>
      <c r="S290" s="1235"/>
      <c r="T290" s="1235"/>
      <c r="U290" s="1235"/>
      <c r="V290" s="1235"/>
      <c r="W290" s="1235"/>
      <c r="X290" s="1235"/>
      <c r="Y290" s="1235"/>
      <c r="Z290" s="1235"/>
      <c r="AA290" s="1235"/>
      <c r="AB290" s="1235"/>
      <c r="AC290" s="1235"/>
      <c r="AD290" s="1235"/>
      <c r="AE290" s="1235"/>
      <c r="AF290" s="1235"/>
      <c r="AG290" s="1235"/>
      <c r="AH290" s="1235"/>
      <c r="AI290" s="1235"/>
      <c r="AJ290" s="1235"/>
    </row>
    <row r="291" spans="1:36" s="1232" customFormat="1">
      <c r="A291" s="1280"/>
      <c r="B291" s="1230" t="s">
        <v>639</v>
      </c>
      <c r="C291" s="1231"/>
      <c r="D291" s="1230"/>
      <c r="E291" s="1231"/>
      <c r="G291" s="1234"/>
      <c r="M291" s="1235"/>
      <c r="N291" s="1235"/>
      <c r="O291" s="1235"/>
      <c r="P291" s="1235"/>
      <c r="Q291" s="1235"/>
      <c r="R291" s="1235"/>
      <c r="S291" s="1235"/>
      <c r="T291" s="1235"/>
      <c r="U291" s="1235"/>
      <c r="V291" s="1235"/>
      <c r="W291" s="1235"/>
      <c r="X291" s="1235"/>
      <c r="Y291" s="1235"/>
      <c r="Z291" s="1235"/>
      <c r="AA291" s="1235"/>
      <c r="AB291" s="1235"/>
      <c r="AC291" s="1235"/>
      <c r="AD291" s="1235"/>
      <c r="AE291" s="1235"/>
      <c r="AF291" s="1235"/>
      <c r="AG291" s="1235"/>
      <c r="AH291" s="1235"/>
      <c r="AI291" s="1235"/>
      <c r="AJ291" s="1235"/>
    </row>
    <row r="292" spans="1:36" s="1232" customFormat="1" ht="15.75">
      <c r="A292" s="1237" t="s">
        <v>723</v>
      </c>
      <c r="B292" s="1235"/>
      <c r="C292" s="1246"/>
      <c r="D292" s="1230"/>
      <c r="E292" s="1246"/>
      <c r="G292" s="1312"/>
      <c r="M292" s="1235"/>
      <c r="N292" s="1235"/>
      <c r="O292" s="1235"/>
      <c r="P292" s="1235"/>
      <c r="Q292" s="1235"/>
      <c r="R292" s="1235"/>
      <c r="S292" s="1235"/>
      <c r="T292" s="1235"/>
      <c r="U292" s="1235"/>
      <c r="V292" s="1235"/>
      <c r="W292" s="1235"/>
      <c r="X292" s="1235"/>
      <c r="Y292" s="1235"/>
      <c r="Z292" s="1235"/>
      <c r="AA292" s="1235"/>
      <c r="AB292" s="1235"/>
      <c r="AC292" s="1235"/>
      <c r="AD292" s="1235"/>
      <c r="AE292" s="1235"/>
      <c r="AF292" s="1235"/>
      <c r="AG292" s="1235"/>
      <c r="AH292" s="1235"/>
      <c r="AI292" s="1235"/>
      <c r="AJ292" s="1235"/>
    </row>
    <row r="293" spans="1:36" s="1232" customFormat="1">
      <c r="A293" s="1261" t="s">
        <v>724</v>
      </c>
      <c r="B293" s="1240" t="s">
        <v>934</v>
      </c>
      <c r="C293" s="1241" t="s">
        <v>991</v>
      </c>
      <c r="D293" s="1240" t="s">
        <v>882</v>
      </c>
      <c r="E293" s="1241" t="s">
        <v>991</v>
      </c>
      <c r="M293" s="1235"/>
      <c r="N293" s="1235"/>
      <c r="O293" s="1235"/>
      <c r="P293" s="1235"/>
      <c r="Q293" s="1235"/>
      <c r="R293" s="1235"/>
      <c r="S293" s="1235"/>
      <c r="T293" s="1235"/>
      <c r="U293" s="1235"/>
      <c r="V293" s="1235"/>
      <c r="W293" s="1235"/>
      <c r="X293" s="1235"/>
      <c r="Y293" s="1235"/>
      <c r="Z293" s="1235"/>
      <c r="AA293" s="1235"/>
      <c r="AB293" s="1235"/>
      <c r="AC293" s="1235"/>
      <c r="AD293" s="1235"/>
      <c r="AE293" s="1235"/>
      <c r="AF293" s="1235"/>
      <c r="AG293" s="1235"/>
      <c r="AH293" s="1235"/>
      <c r="AI293" s="1235"/>
      <c r="AJ293" s="1235"/>
    </row>
    <row r="294" spans="1:36" s="1232" customFormat="1">
      <c r="A294" s="1244" t="s">
        <v>869</v>
      </c>
      <c r="B294" s="1230">
        <v>9721603629.7900009</v>
      </c>
      <c r="C294" s="1246">
        <v>0.98392000000000002</v>
      </c>
      <c r="D294" s="1247">
        <v>93940</v>
      </c>
      <c r="E294" s="1246">
        <v>0.98507</v>
      </c>
      <c r="M294" s="1235"/>
      <c r="N294" s="1235"/>
      <c r="O294" s="1235"/>
      <c r="P294" s="1235"/>
      <c r="Q294" s="1235"/>
      <c r="R294" s="1235"/>
      <c r="S294" s="1235"/>
      <c r="T294" s="1235"/>
      <c r="U294" s="1235"/>
      <c r="V294" s="1235"/>
      <c r="W294" s="1235"/>
      <c r="X294" s="1235"/>
      <c r="Y294" s="1235"/>
      <c r="Z294" s="1235"/>
      <c r="AA294" s="1235"/>
      <c r="AB294" s="1235"/>
      <c r="AC294" s="1235"/>
      <c r="AD294" s="1235"/>
      <c r="AE294" s="1235"/>
      <c r="AF294" s="1235"/>
      <c r="AG294" s="1235"/>
      <c r="AH294" s="1235"/>
      <c r="AI294" s="1235"/>
      <c r="AJ294" s="1235"/>
    </row>
    <row r="295" spans="1:36" s="1232" customFormat="1">
      <c r="A295" s="1244" t="s">
        <v>870</v>
      </c>
      <c r="B295" s="1230">
        <v>55084628.619999997</v>
      </c>
      <c r="C295" s="1246">
        <v>5.5799999999999999E-3</v>
      </c>
      <c r="D295" s="1247">
        <v>510</v>
      </c>
      <c r="E295" s="1246">
        <v>5.3499999999999997E-3</v>
      </c>
      <c r="M295" s="1235"/>
      <c r="N295" s="1235"/>
      <c r="O295" s="1235"/>
      <c r="P295" s="1235"/>
      <c r="Q295" s="1235"/>
      <c r="R295" s="1235"/>
      <c r="S295" s="1235"/>
      <c r="T295" s="1235"/>
      <c r="U295" s="1235"/>
      <c r="V295" s="1235"/>
      <c r="W295" s="1235"/>
      <c r="X295" s="1235"/>
      <c r="Y295" s="1235"/>
      <c r="Z295" s="1235"/>
      <c r="AA295" s="1235"/>
      <c r="AB295" s="1235"/>
      <c r="AC295" s="1235"/>
      <c r="AD295" s="1235"/>
      <c r="AE295" s="1235"/>
      <c r="AF295" s="1235"/>
      <c r="AG295" s="1235"/>
      <c r="AH295" s="1235"/>
      <c r="AI295" s="1235"/>
      <c r="AJ295" s="1235"/>
    </row>
    <row r="296" spans="1:36" s="1232" customFormat="1">
      <c r="A296" s="1244" t="s">
        <v>871</v>
      </c>
      <c r="B296" s="1230">
        <v>25584505.120000001</v>
      </c>
      <c r="C296" s="1246">
        <v>2.5899999999999999E-3</v>
      </c>
      <c r="D296" s="1247">
        <v>230</v>
      </c>
      <c r="E296" s="1246">
        <v>2.4099999999999998E-3</v>
      </c>
      <c r="M296" s="1235"/>
      <c r="N296" s="1235"/>
      <c r="O296" s="1235"/>
      <c r="P296" s="1235"/>
      <c r="Q296" s="1235"/>
      <c r="R296" s="1235"/>
      <c r="S296" s="1235"/>
      <c r="T296" s="1235"/>
      <c r="U296" s="1235"/>
      <c r="V296" s="1235"/>
      <c r="W296" s="1235"/>
      <c r="X296" s="1235"/>
      <c r="Y296" s="1235"/>
      <c r="Z296" s="1235"/>
      <c r="AA296" s="1235"/>
      <c r="AB296" s="1235"/>
      <c r="AC296" s="1235"/>
      <c r="AD296" s="1235"/>
      <c r="AE296" s="1235"/>
      <c r="AF296" s="1235"/>
      <c r="AG296" s="1235"/>
      <c r="AH296" s="1235"/>
      <c r="AI296" s="1235"/>
      <c r="AJ296" s="1235"/>
    </row>
    <row r="297" spans="1:36" s="1232" customFormat="1">
      <c r="A297" s="1244" t="s">
        <v>872</v>
      </c>
      <c r="B297" s="1230">
        <v>19590614.77</v>
      </c>
      <c r="C297" s="1246">
        <v>1.98E-3</v>
      </c>
      <c r="D297" s="1247">
        <v>163</v>
      </c>
      <c r="E297" s="1246">
        <v>1.7099999999999999E-3</v>
      </c>
      <c r="M297" s="1235"/>
      <c r="N297" s="1235"/>
      <c r="O297" s="1235"/>
      <c r="P297" s="1235"/>
      <c r="Q297" s="1235"/>
      <c r="R297" s="1235"/>
      <c r="S297" s="1235"/>
      <c r="T297" s="1235"/>
      <c r="U297" s="1235"/>
      <c r="V297" s="1235"/>
      <c r="W297" s="1235"/>
      <c r="X297" s="1235"/>
      <c r="Y297" s="1235"/>
      <c r="Z297" s="1235"/>
      <c r="AA297" s="1235"/>
      <c r="AB297" s="1235"/>
      <c r="AC297" s="1235"/>
      <c r="AD297" s="1235"/>
      <c r="AE297" s="1235"/>
      <c r="AF297" s="1235"/>
      <c r="AG297" s="1235"/>
      <c r="AH297" s="1235"/>
      <c r="AI297" s="1235"/>
      <c r="AJ297" s="1235"/>
    </row>
    <row r="298" spans="1:36" s="1232" customFormat="1">
      <c r="A298" s="1244" t="s">
        <v>873</v>
      </c>
      <c r="B298" s="1230">
        <v>9728796.5399999991</v>
      </c>
      <c r="C298" s="1246">
        <v>9.7999999999999997E-4</v>
      </c>
      <c r="D298" s="1247">
        <v>91</v>
      </c>
      <c r="E298" s="1246">
        <v>9.5E-4</v>
      </c>
      <c r="M298" s="1235"/>
      <c r="N298" s="1235"/>
      <c r="O298" s="1235"/>
      <c r="P298" s="1235"/>
      <c r="Q298" s="1235"/>
      <c r="R298" s="1235"/>
      <c r="S298" s="1235"/>
      <c r="T298" s="1235"/>
      <c r="U298" s="1235"/>
      <c r="V298" s="1235"/>
      <c r="W298" s="1235"/>
      <c r="X298" s="1235"/>
      <c r="Y298" s="1235"/>
      <c r="Z298" s="1235"/>
      <c r="AA298" s="1235"/>
      <c r="AB298" s="1235"/>
      <c r="AC298" s="1235"/>
      <c r="AD298" s="1235"/>
      <c r="AE298" s="1235"/>
      <c r="AF298" s="1235"/>
      <c r="AG298" s="1235"/>
      <c r="AH298" s="1235"/>
      <c r="AI298" s="1235"/>
      <c r="AJ298" s="1235"/>
    </row>
    <row r="299" spans="1:36" s="1232" customFormat="1">
      <c r="A299" s="1244" t="s">
        <v>874</v>
      </c>
      <c r="B299" s="1230">
        <v>7329936.5599999996</v>
      </c>
      <c r="C299" s="1246">
        <v>7.3999999999999999E-4</v>
      </c>
      <c r="D299" s="1247">
        <v>71</v>
      </c>
      <c r="E299" s="1246">
        <v>7.3999999999999999E-4</v>
      </c>
      <c r="M299" s="1235"/>
      <c r="N299" s="1235"/>
      <c r="O299" s="1235"/>
      <c r="P299" s="1235"/>
      <c r="Q299" s="1235"/>
      <c r="R299" s="1235"/>
      <c r="S299" s="1235"/>
      <c r="T299" s="1235"/>
      <c r="U299" s="1235"/>
      <c r="V299" s="1235"/>
      <c r="W299" s="1235"/>
      <c r="X299" s="1235"/>
      <c r="Y299" s="1235"/>
      <c r="Z299" s="1235"/>
      <c r="AA299" s="1235"/>
      <c r="AB299" s="1235"/>
      <c r="AC299" s="1235"/>
      <c r="AD299" s="1235"/>
      <c r="AE299" s="1235"/>
      <c r="AF299" s="1235"/>
      <c r="AG299" s="1235"/>
      <c r="AH299" s="1235"/>
      <c r="AI299" s="1235"/>
      <c r="AJ299" s="1235"/>
    </row>
    <row r="300" spans="1:36" s="1232" customFormat="1">
      <c r="A300" s="1244" t="s">
        <v>875</v>
      </c>
      <c r="B300" s="1230">
        <v>41533718.619999997</v>
      </c>
      <c r="C300" s="1246">
        <v>4.1999999999999997E-3</v>
      </c>
      <c r="D300" s="1247">
        <v>359</v>
      </c>
      <c r="E300" s="1246">
        <v>3.7599999999999999E-3</v>
      </c>
      <c r="M300" s="1235"/>
      <c r="N300" s="1235"/>
      <c r="O300" s="1235"/>
      <c r="P300" s="1235"/>
      <c r="Q300" s="1235"/>
      <c r="R300" s="1235"/>
      <c r="S300" s="1235"/>
      <c r="T300" s="1235"/>
      <c r="U300" s="1235"/>
      <c r="V300" s="1235"/>
      <c r="W300" s="1235"/>
      <c r="X300" s="1235"/>
      <c r="Y300" s="1235"/>
      <c r="Z300" s="1235"/>
      <c r="AA300" s="1235"/>
      <c r="AB300" s="1235"/>
      <c r="AC300" s="1235"/>
      <c r="AD300" s="1235"/>
      <c r="AE300" s="1235"/>
      <c r="AF300" s="1235"/>
      <c r="AG300" s="1235"/>
      <c r="AH300" s="1235"/>
      <c r="AI300" s="1235"/>
      <c r="AJ300" s="1235"/>
    </row>
    <row r="301" spans="1:36" s="1232" customFormat="1" ht="13.5" thickBot="1">
      <c r="A301" s="1264" t="s">
        <v>814</v>
      </c>
      <c r="B301" s="1253">
        <v>9880455830.0200043</v>
      </c>
      <c r="C301" s="1250">
        <v>0.99998999999999993</v>
      </c>
      <c r="D301" s="1251">
        <v>95364</v>
      </c>
      <c r="E301" s="1250">
        <v>0.99998999999999993</v>
      </c>
      <c r="M301" s="1235"/>
      <c r="N301" s="1235"/>
      <c r="O301" s="1235"/>
      <c r="P301" s="1235"/>
      <c r="Q301" s="1235"/>
      <c r="R301" s="1235"/>
      <c r="S301" s="1235"/>
      <c r="T301" s="1235"/>
      <c r="U301" s="1235"/>
      <c r="V301" s="1235"/>
      <c r="W301" s="1235"/>
      <c r="X301" s="1235"/>
      <c r="Y301" s="1235"/>
      <c r="Z301" s="1235"/>
      <c r="AA301" s="1235"/>
      <c r="AB301" s="1235"/>
      <c r="AC301" s="1235"/>
      <c r="AD301" s="1235"/>
      <c r="AE301" s="1235"/>
      <c r="AF301" s="1235"/>
      <c r="AG301" s="1235"/>
      <c r="AH301" s="1235"/>
      <c r="AI301" s="1235"/>
      <c r="AJ301" s="1235"/>
    </row>
    <row r="302" spans="1:36" s="971" customFormat="1" ht="13.5" thickTop="1">
      <c r="A302" s="1131"/>
      <c r="B302" s="1132"/>
      <c r="C302" s="1128"/>
      <c r="D302" s="1130"/>
      <c r="E302" s="1128"/>
      <c r="M302" s="970"/>
      <c r="N302" s="970"/>
      <c r="O302" s="970"/>
      <c r="P302" s="970"/>
      <c r="Q302" s="970"/>
      <c r="R302" s="970"/>
      <c r="S302" s="970"/>
      <c r="T302" s="970"/>
      <c r="U302" s="970"/>
      <c r="V302" s="970"/>
      <c r="W302" s="970"/>
      <c r="X302" s="970"/>
      <c r="Y302" s="970"/>
      <c r="Z302" s="970"/>
      <c r="AA302" s="970"/>
      <c r="AB302" s="970"/>
      <c r="AC302" s="970"/>
      <c r="AD302" s="970"/>
      <c r="AE302" s="970"/>
      <c r="AF302" s="970"/>
      <c r="AG302" s="970"/>
      <c r="AH302" s="970"/>
      <c r="AI302" s="970"/>
      <c r="AJ302" s="970"/>
    </row>
    <row r="303" spans="1:36" s="971" customFormat="1">
      <c r="A303" s="1131" t="s">
        <v>136</v>
      </c>
      <c r="B303" s="1129">
        <v>7.9000000000000008E-3</v>
      </c>
      <c r="C303" s="1128"/>
      <c r="D303" s="1130"/>
      <c r="E303" s="1128"/>
      <c r="M303" s="970"/>
      <c r="N303" s="970"/>
      <c r="O303" s="970"/>
      <c r="P303" s="970"/>
      <c r="Q303" s="970"/>
      <c r="R303" s="970"/>
      <c r="S303" s="970"/>
      <c r="T303" s="970"/>
      <c r="U303" s="970"/>
      <c r="V303" s="970"/>
      <c r="W303" s="970"/>
      <c r="X303" s="970"/>
      <c r="Y303" s="970"/>
      <c r="Z303" s="970"/>
      <c r="AA303" s="970"/>
      <c r="AB303" s="970"/>
      <c r="AC303" s="970"/>
      <c r="AD303" s="970"/>
      <c r="AE303" s="970"/>
      <c r="AF303" s="970"/>
      <c r="AG303" s="970"/>
      <c r="AH303" s="970"/>
      <c r="AI303" s="970"/>
      <c r="AJ303" s="970"/>
    </row>
    <row r="304" spans="1:36">
      <c r="A304" s="223"/>
      <c r="B304" s="183"/>
      <c r="C304" s="207"/>
      <c r="D304" s="224"/>
      <c r="E304" s="207"/>
      <c r="I304" s="211"/>
    </row>
    <row r="305" spans="1:36">
      <c r="C305" s="207"/>
      <c r="D305" s="183"/>
      <c r="E305" s="207"/>
      <c r="K305" s="35"/>
    </row>
    <row r="306" spans="1:36" ht="15.75">
      <c r="A306" s="339" t="s">
        <v>604</v>
      </c>
      <c r="K306" s="35"/>
    </row>
    <row r="307" spans="1:36" ht="13.5" thickBot="1">
      <c r="A307" s="240"/>
      <c r="B307" s="197" t="s">
        <v>147</v>
      </c>
      <c r="C307" s="198" t="s">
        <v>148</v>
      </c>
      <c r="D307" s="1240" t="s">
        <v>1108</v>
      </c>
      <c r="E307" s="201"/>
      <c r="G307" s="64"/>
      <c r="K307" s="35"/>
    </row>
    <row r="308" spans="1:36">
      <c r="A308" s="259" t="s">
        <v>950</v>
      </c>
      <c r="B308" s="839">
        <v>1527</v>
      </c>
      <c r="C308" s="840">
        <v>142027240.54999995</v>
      </c>
      <c r="D308" s="841">
        <v>14482998.780000012</v>
      </c>
      <c r="E308" s="241"/>
      <c r="G308" s="241"/>
      <c r="K308" s="35"/>
      <c r="N308" s="942"/>
      <c r="O308" s="481"/>
      <c r="P308" s="891"/>
      <c r="Q308" s="481"/>
    </row>
    <row r="309" spans="1:36">
      <c r="A309" s="842" t="s">
        <v>294</v>
      </c>
      <c r="B309" s="843">
        <v>364</v>
      </c>
      <c r="C309" s="844">
        <v>36170775.819999985</v>
      </c>
      <c r="D309" s="845">
        <v>4954359.7200000016</v>
      </c>
      <c r="E309" s="674"/>
      <c r="G309" s="674"/>
      <c r="K309" s="35"/>
      <c r="L309" s="35"/>
      <c r="N309" s="943"/>
      <c r="O309" s="481"/>
      <c r="P309" s="943"/>
      <c r="Q309" s="481"/>
      <c r="AI309" s="33"/>
      <c r="AJ309" s="33"/>
    </row>
    <row r="310" spans="1:36">
      <c r="A310" s="842" t="s">
        <v>952</v>
      </c>
      <c r="B310" s="843">
        <v>21</v>
      </c>
      <c r="C310" s="844">
        <v>2592955.9900000002</v>
      </c>
      <c r="D310" s="845">
        <v>630159.40000000014</v>
      </c>
      <c r="E310" s="241"/>
      <c r="G310" s="241"/>
      <c r="K310" s="35"/>
      <c r="L310" s="35"/>
      <c r="N310" s="481"/>
      <c r="O310" s="481"/>
      <c r="P310" s="481"/>
      <c r="Q310" s="481"/>
      <c r="AI310" s="33"/>
      <c r="AJ310" s="33"/>
    </row>
    <row r="311" spans="1:36">
      <c r="A311" s="842" t="s">
        <v>953</v>
      </c>
      <c r="B311" s="843">
        <v>16</v>
      </c>
      <c r="C311" s="844">
        <v>1460671.9800000002</v>
      </c>
      <c r="D311" s="845">
        <v>384471.77</v>
      </c>
      <c r="E311" s="241"/>
      <c r="G311" s="241"/>
      <c r="K311" s="35"/>
      <c r="L311" s="35"/>
      <c r="N311" s="943"/>
      <c r="O311" s="481"/>
      <c r="P311" s="943"/>
      <c r="Q311" s="481"/>
      <c r="AI311" s="33"/>
      <c r="AJ311" s="33"/>
    </row>
    <row r="312" spans="1:36">
      <c r="A312" s="842" t="s">
        <v>573</v>
      </c>
      <c r="B312" s="843">
        <v>369</v>
      </c>
      <c r="C312" s="844">
        <v>36976016.210000023</v>
      </c>
      <c r="D312" s="845">
        <v>5183480.7899999991</v>
      </c>
      <c r="E312" s="541"/>
      <c r="G312" s="681"/>
      <c r="K312" s="35"/>
      <c r="L312" s="35"/>
      <c r="N312" s="943"/>
      <c r="O312" s="481"/>
      <c r="P312" s="943"/>
      <c r="Q312" s="481"/>
      <c r="AI312" s="33"/>
      <c r="AJ312" s="33"/>
    </row>
    <row r="313" spans="1:36">
      <c r="A313" s="842" t="s">
        <v>954</v>
      </c>
      <c r="B313" s="843">
        <v>1152</v>
      </c>
      <c r="C313" s="844">
        <v>104569386.68999997</v>
      </c>
      <c r="D313" s="845">
        <v>9042710.4100000076</v>
      </c>
      <c r="G313" s="241"/>
      <c r="K313" s="35"/>
      <c r="L313" s="35"/>
      <c r="N313" s="1519"/>
      <c r="O313" s="481"/>
      <c r="P313" s="1519"/>
      <c r="Q313" s="481"/>
      <c r="AI313" s="33"/>
      <c r="AJ313" s="33"/>
    </row>
    <row r="314" spans="1:36">
      <c r="A314" s="842" t="s">
        <v>140</v>
      </c>
      <c r="B314" s="843">
        <v>384</v>
      </c>
      <c r="C314" s="844">
        <v>39788138.60999997</v>
      </c>
      <c r="D314" s="845">
        <v>2756918.2800000017</v>
      </c>
      <c r="H314" s="674"/>
      <c r="K314" s="35"/>
      <c r="L314" s="35"/>
      <c r="AI314" s="33"/>
      <c r="AJ314" s="33"/>
    </row>
    <row r="315" spans="1:36">
      <c r="A315" s="842" t="s">
        <v>141</v>
      </c>
      <c r="B315" s="843">
        <v>25</v>
      </c>
      <c r="C315" s="844">
        <v>2344214.8299999996</v>
      </c>
      <c r="D315" s="845">
        <v>191385.46</v>
      </c>
      <c r="E315" s="33"/>
      <c r="G315" s="35"/>
      <c r="H315" s="674"/>
      <c r="K315" s="35"/>
      <c r="L315" s="35"/>
      <c r="AI315" s="33"/>
      <c r="AJ315" s="33"/>
    </row>
    <row r="316" spans="1:36">
      <c r="A316" s="842" t="s">
        <v>142</v>
      </c>
      <c r="B316" s="843">
        <v>5</v>
      </c>
      <c r="C316" s="844">
        <v>387155</v>
      </c>
      <c r="D316" s="845">
        <v>9208.3700000000008</v>
      </c>
      <c r="E316" s="33"/>
      <c r="G316" s="35"/>
      <c r="H316" s="683"/>
      <c r="L316" s="35"/>
      <c r="AI316" s="33"/>
      <c r="AJ316" s="33"/>
    </row>
    <row r="317" spans="1:36" ht="13.5" thickBot="1">
      <c r="A317" s="842" t="s">
        <v>566</v>
      </c>
      <c r="B317" s="846">
        <v>27</v>
      </c>
      <c r="C317" s="847">
        <v>2434090.96</v>
      </c>
      <c r="D317" s="848">
        <v>179852.40999999997</v>
      </c>
      <c r="E317" s="33"/>
      <c r="G317" s="35"/>
      <c r="H317" s="241"/>
      <c r="K317" s="35"/>
      <c r="L317" s="35"/>
      <c r="AI317" s="33"/>
      <c r="AJ317" s="33"/>
    </row>
    <row r="318" spans="1:36" ht="15.75">
      <c r="A318" s="441"/>
      <c r="B318" s="849"/>
      <c r="C318" s="849"/>
      <c r="D318" s="849"/>
      <c r="E318" s="849"/>
      <c r="F318" s="849"/>
      <c r="G318" s="67"/>
      <c r="H318" s="241"/>
      <c r="K318" s="35"/>
      <c r="L318" s="35"/>
      <c r="AI318" s="33"/>
      <c r="AJ318" s="33"/>
    </row>
    <row r="319" spans="1:36" ht="15.75">
      <c r="A319" s="341" t="s">
        <v>567</v>
      </c>
      <c r="B319" s="850"/>
      <c r="C319" s="851"/>
      <c r="D319" s="66"/>
      <c r="E319" s="66"/>
      <c r="F319" s="66"/>
      <c r="G319" s="52"/>
      <c r="H319" s="674"/>
      <c r="K319" s="35"/>
      <c r="L319" s="35"/>
      <c r="AI319" s="33"/>
      <c r="AJ319" s="33"/>
    </row>
    <row r="320" spans="1:36" ht="13.5" thickBot="1">
      <c r="A320" s="349"/>
      <c r="B320" s="238" t="s">
        <v>147</v>
      </c>
      <c r="C320" s="350" t="s">
        <v>568</v>
      </c>
      <c r="D320" s="238" t="s">
        <v>569</v>
      </c>
      <c r="E320" s="350" t="s">
        <v>570</v>
      </c>
      <c r="F320" s="35"/>
      <c r="G320" s="51"/>
      <c r="H320" s="61"/>
      <c r="K320" s="35"/>
    </row>
    <row r="321" spans="1:36">
      <c r="A321" s="852" t="s">
        <v>143</v>
      </c>
      <c r="B321" s="839">
        <v>330</v>
      </c>
      <c r="C321" s="840">
        <v>34741187.220000006</v>
      </c>
      <c r="D321" s="853">
        <v>41217160.159999974</v>
      </c>
      <c r="E321" s="854">
        <v>38151940.980000004</v>
      </c>
      <c r="F321" s="35"/>
      <c r="G321" s="51"/>
      <c r="H321" s="61"/>
      <c r="K321" s="35"/>
      <c r="L321" s="35"/>
      <c r="N321" s="891"/>
      <c r="O321" s="481"/>
      <c r="AI321" s="33"/>
      <c r="AJ321" s="33"/>
    </row>
    <row r="322" spans="1:36" ht="13.5" thickBot="1">
      <c r="A322" s="855" t="s">
        <v>144</v>
      </c>
      <c r="B322" s="846">
        <v>3</v>
      </c>
      <c r="C322" s="847">
        <v>297278.87</v>
      </c>
      <c r="D322" s="856">
        <v>361120.68000000005</v>
      </c>
      <c r="E322" s="857">
        <v>310000</v>
      </c>
      <c r="F322" s="35"/>
      <c r="G322" s="51"/>
      <c r="H322" s="461"/>
      <c r="K322" s="35"/>
      <c r="L322" s="35"/>
      <c r="N322" s="886"/>
      <c r="O322" s="481"/>
      <c r="AI322" s="33"/>
      <c r="AJ322" s="33"/>
    </row>
    <row r="323" spans="1:36">
      <c r="A323" s="858"/>
      <c r="B323" s="859"/>
      <c r="C323" s="860"/>
      <c r="D323" s="860"/>
      <c r="E323" s="860"/>
      <c r="F323" s="860"/>
      <c r="G323" s="51"/>
      <c r="H323" s="61"/>
      <c r="I323" s="64"/>
      <c r="L323" s="35"/>
      <c r="N323" s="886"/>
      <c r="O323" s="481"/>
      <c r="AI323" s="33"/>
      <c r="AJ323" s="33"/>
    </row>
    <row r="324" spans="1:36" ht="13.5" thickBot="1">
      <c r="A324" s="858"/>
      <c r="B324" s="859"/>
      <c r="C324" s="860"/>
      <c r="D324" s="860"/>
      <c r="E324" s="860"/>
      <c r="F324" s="860"/>
      <c r="G324" s="51"/>
      <c r="H324" s="61"/>
      <c r="L324" s="35"/>
      <c r="N324" s="481"/>
      <c r="O324" s="481"/>
      <c r="AI324" s="33"/>
      <c r="AJ324" s="33"/>
    </row>
    <row r="325" spans="1:36" ht="13.5" thickBot="1">
      <c r="A325" s="861" t="s">
        <v>145</v>
      </c>
      <c r="B325" s="862" t="s">
        <v>1095</v>
      </c>
      <c r="C325" s="860"/>
      <c r="D325" s="35"/>
      <c r="E325" s="35"/>
      <c r="F325" s="35"/>
      <c r="G325" s="51"/>
      <c r="H325" s="61"/>
      <c r="L325" s="35"/>
      <c r="N325" s="889"/>
      <c r="O325" s="481"/>
      <c r="AI325" s="33"/>
      <c r="AJ325" s="33"/>
    </row>
    <row r="326" spans="1:36">
      <c r="A326" s="858"/>
      <c r="B326" s="859"/>
      <c r="C326" s="860"/>
      <c r="D326" s="35"/>
      <c r="E326" s="35"/>
      <c r="F326" s="35"/>
      <c r="G326" s="51"/>
      <c r="H326" s="461"/>
      <c r="L326" s="35"/>
      <c r="N326" s="887"/>
      <c r="O326" s="481"/>
      <c r="AI326" s="33"/>
      <c r="AJ326" s="33"/>
    </row>
    <row r="327" spans="1:36" ht="13.5" thickBot="1">
      <c r="A327" s="349"/>
      <c r="B327" s="238" t="s">
        <v>147</v>
      </c>
      <c r="C327" s="350" t="s">
        <v>569</v>
      </c>
      <c r="D327" s="238" t="s">
        <v>570</v>
      </c>
      <c r="E327" s="350" t="s">
        <v>571</v>
      </c>
      <c r="F327" s="350" t="s">
        <v>53</v>
      </c>
      <c r="G327" s="51"/>
      <c r="N327" s="957"/>
      <c r="O327" s="481"/>
    </row>
    <row r="328" spans="1:36">
      <c r="A328" s="852" t="s">
        <v>850</v>
      </c>
      <c r="B328" s="863">
        <v>330</v>
      </c>
      <c r="C328" s="864">
        <v>41217160.159999974</v>
      </c>
      <c r="D328" s="841">
        <v>38151940.980000004</v>
      </c>
      <c r="E328" s="865">
        <v>7033818.2299999995</v>
      </c>
      <c r="F328" s="865">
        <v>6333362.9199999999</v>
      </c>
      <c r="G328" s="327"/>
      <c r="N328" s="888"/>
      <c r="O328" s="885"/>
    </row>
    <row r="329" spans="1:36">
      <c r="A329" s="858" t="s">
        <v>220</v>
      </c>
      <c r="B329" s="866">
        <v>246</v>
      </c>
      <c r="C329" s="860">
        <v>31993263.079999983</v>
      </c>
      <c r="D329" s="845">
        <v>26968843</v>
      </c>
      <c r="E329" s="867">
        <v>7033818.2299999995</v>
      </c>
      <c r="F329" s="867">
        <v>6333362.9199999999</v>
      </c>
      <c r="G329" s="327"/>
      <c r="N329" s="889"/>
      <c r="O329" s="481"/>
    </row>
    <row r="330" spans="1:36">
      <c r="A330" s="858" t="s">
        <v>85</v>
      </c>
      <c r="B330" s="866">
        <v>3</v>
      </c>
      <c r="C330" s="860">
        <v>361120.68000000005</v>
      </c>
      <c r="D330" s="845">
        <v>310000</v>
      </c>
      <c r="E330" s="867">
        <v>108902.17</v>
      </c>
      <c r="F330" s="867">
        <v>108902.17</v>
      </c>
      <c r="G330" s="327"/>
      <c r="N330" s="890"/>
      <c r="O330" s="481"/>
    </row>
    <row r="331" spans="1:36" ht="13.5" thickBot="1">
      <c r="A331" s="855" t="s">
        <v>146</v>
      </c>
      <c r="B331" s="868">
        <v>3</v>
      </c>
      <c r="C331" s="869">
        <v>361120.68000000005</v>
      </c>
      <c r="D331" s="848">
        <v>310000</v>
      </c>
      <c r="E331" s="870">
        <v>108902.17</v>
      </c>
      <c r="F331" s="870">
        <v>108902.17</v>
      </c>
      <c r="G331" s="327"/>
      <c r="N331" s="957"/>
      <c r="O331" s="481"/>
    </row>
    <row r="332" spans="1:36">
      <c r="A332" s="858"/>
      <c r="B332" s="216"/>
      <c r="C332" s="860"/>
      <c r="D332" s="35"/>
      <c r="E332" s="35"/>
      <c r="F332" s="35"/>
      <c r="G332" s="51"/>
    </row>
    <row r="333" spans="1:36" ht="13.5" thickBot="1">
      <c r="A333" s="858"/>
      <c r="B333" s="871" t="s">
        <v>147</v>
      </c>
      <c r="C333" s="872" t="s">
        <v>223</v>
      </c>
      <c r="D333" s="35"/>
      <c r="E333" s="35"/>
      <c r="F333" s="35"/>
      <c r="G333" s="51"/>
    </row>
    <row r="334" spans="1:36" ht="13.5" thickBot="1">
      <c r="A334" s="873" t="s">
        <v>224</v>
      </c>
      <c r="B334" s="874">
        <v>17</v>
      </c>
      <c r="C334" s="875">
        <v>700455.31</v>
      </c>
      <c r="D334" s="35"/>
      <c r="E334" s="35"/>
      <c r="F334" s="35"/>
      <c r="G334" s="51"/>
    </row>
    <row r="335" spans="1:36">
      <c r="A335" s="858"/>
      <c r="B335" s="216"/>
      <c r="C335" s="860"/>
      <c r="D335" s="35"/>
      <c r="E335" s="35"/>
      <c r="F335" s="35"/>
      <c r="G335" s="51"/>
      <c r="H335" s="64"/>
      <c r="I335" s="64"/>
      <c r="J335" s="64"/>
      <c r="K335" s="64"/>
    </row>
    <row r="336" spans="1:36" s="64" customFormat="1">
      <c r="A336" s="876" t="s">
        <v>673</v>
      </c>
      <c r="B336" s="216"/>
      <c r="C336" s="860"/>
      <c r="D336" s="35"/>
      <c r="E336" s="35"/>
      <c r="F336" s="35"/>
      <c r="G336" s="51"/>
      <c r="H336" s="33"/>
      <c r="I336" s="33"/>
      <c r="J336" s="33"/>
      <c r="K336" s="33"/>
      <c r="L336" s="33"/>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row>
    <row r="337" spans="1:12">
      <c r="A337" s="882" t="s">
        <v>149</v>
      </c>
      <c r="B337" s="216"/>
      <c r="C337" s="860"/>
      <c r="D337" s="35"/>
      <c r="E337" s="35"/>
      <c r="F337" s="35"/>
      <c r="G337" s="51"/>
    </row>
    <row r="338" spans="1:12">
      <c r="A338" s="882" t="s">
        <v>76</v>
      </c>
      <c r="B338" s="216"/>
      <c r="C338" s="860"/>
      <c r="D338" s="35"/>
      <c r="E338" s="35"/>
      <c r="F338" s="35"/>
      <c r="G338" s="51"/>
    </row>
    <row r="339" spans="1:12">
      <c r="A339" s="882" t="s">
        <v>151</v>
      </c>
      <c r="B339" s="216"/>
      <c r="C339" s="860"/>
      <c r="D339" s="35"/>
      <c r="E339" s="35"/>
      <c r="F339" s="35"/>
      <c r="G339" s="356"/>
      <c r="L339" s="64"/>
    </row>
    <row r="340" spans="1:12">
      <c r="A340" s="1133" t="s">
        <v>1070</v>
      </c>
      <c r="B340" s="67"/>
      <c r="C340" s="67"/>
      <c r="D340" s="67"/>
      <c r="E340" s="67"/>
      <c r="F340" s="67"/>
      <c r="G340" s="53"/>
    </row>
    <row r="341" spans="1:12">
      <c r="A341" s="33"/>
      <c r="B341" s="33"/>
      <c r="C341" s="33"/>
      <c r="D341" s="33"/>
      <c r="E341" s="33"/>
    </row>
    <row r="342" spans="1:12">
      <c r="A342" s="33"/>
      <c r="B342" s="33"/>
      <c r="C342" s="33"/>
      <c r="D342" s="33"/>
      <c r="E342" s="33"/>
    </row>
    <row r="343" spans="1:12">
      <c r="A343" s="242"/>
    </row>
    <row r="344" spans="1:12" ht="15.75">
      <c r="A344" s="1134" t="s">
        <v>557</v>
      </c>
      <c r="B344" s="990"/>
      <c r="C344" s="1135" t="s">
        <v>558</v>
      </c>
      <c r="D344" s="1136" t="s">
        <v>559</v>
      </c>
    </row>
    <row r="345" spans="1:12">
      <c r="A345" s="1016" t="s">
        <v>1120</v>
      </c>
      <c r="B345" s="976"/>
      <c r="C345" s="1137">
        <v>728</v>
      </c>
      <c r="D345" s="1138">
        <v>25356370.75</v>
      </c>
    </row>
    <row r="346" spans="1:12">
      <c r="A346" s="1460" t="s">
        <v>420</v>
      </c>
      <c r="B346" s="1461"/>
      <c r="C346" s="1137">
        <v>230366</v>
      </c>
      <c r="D346" s="1138">
        <v>19449042451.240002</v>
      </c>
    </row>
    <row r="347" spans="1:12">
      <c r="A347" s="1016"/>
      <c r="B347" s="976"/>
      <c r="C347" s="1137"/>
      <c r="D347" s="1138"/>
    </row>
    <row r="348" spans="1:12" ht="15.75">
      <c r="A348" s="1134" t="s">
        <v>725</v>
      </c>
      <c r="B348" s="990"/>
      <c r="C348" s="1139"/>
      <c r="D348" s="1105"/>
    </row>
    <row r="349" spans="1:12">
      <c r="A349" s="1016" t="s">
        <v>1121</v>
      </c>
      <c r="B349" s="976"/>
      <c r="C349" s="1140">
        <v>0</v>
      </c>
      <c r="D349" s="1141">
        <v>0</v>
      </c>
    </row>
    <row r="350" spans="1:12">
      <c r="A350" s="1460" t="s">
        <v>54</v>
      </c>
      <c r="B350" s="1461"/>
      <c r="C350" s="1137">
        <v>152565</v>
      </c>
      <c r="D350" s="1138">
        <v>31896929774.400002</v>
      </c>
    </row>
    <row r="351" spans="1:12">
      <c r="A351" s="1111"/>
      <c r="B351" s="1031"/>
      <c r="C351" s="1142"/>
      <c r="D351" s="1143"/>
    </row>
    <row r="352" spans="1:12">
      <c r="G352" s="35"/>
      <c r="H352" s="35"/>
      <c r="I352" s="35"/>
      <c r="J352" s="35"/>
      <c r="K352" s="35"/>
    </row>
    <row r="353" spans="1:18">
      <c r="A353" s="90"/>
      <c r="B353" s="183"/>
      <c r="C353" s="218"/>
      <c r="D353" s="183"/>
      <c r="E353" s="218"/>
      <c r="F353" s="35"/>
      <c r="G353" s="35"/>
      <c r="H353" s="218"/>
      <c r="I353" s="207"/>
      <c r="J353" s="35"/>
      <c r="K353" s="35"/>
      <c r="L353" s="35"/>
    </row>
    <row r="354" spans="1:18">
      <c r="A354" s="90"/>
      <c r="B354" s="183"/>
      <c r="C354" s="218"/>
      <c r="D354" s="183"/>
      <c r="E354" s="218"/>
      <c r="F354" s="35"/>
      <c r="G354" s="35"/>
      <c r="H354" s="218"/>
      <c r="I354" s="207"/>
      <c r="J354" s="35"/>
      <c r="K354" s="35"/>
      <c r="L354" s="35"/>
    </row>
    <row r="355" spans="1:18" ht="15.75">
      <c r="A355" s="830" t="s">
        <v>351</v>
      </c>
      <c r="B355" s="183"/>
      <c r="C355" s="218"/>
      <c r="D355" s="183"/>
      <c r="E355" s="218"/>
      <c r="F355" s="35"/>
      <c r="G355" s="35"/>
      <c r="H355" s="35"/>
      <c r="I355" s="35"/>
      <c r="J355" s="35"/>
      <c r="K355" s="35"/>
      <c r="L355" s="35"/>
    </row>
    <row r="356" spans="1:18">
      <c r="A356" s="231"/>
      <c r="B356" s="183"/>
      <c r="C356" s="218"/>
      <c r="D356" s="183"/>
      <c r="E356" s="218"/>
      <c r="F356" s="218"/>
      <c r="G356" s="35"/>
      <c r="H356" s="35"/>
      <c r="I356" s="35"/>
      <c r="J356" s="35"/>
      <c r="K356" s="35"/>
      <c r="L356" s="35"/>
    </row>
    <row r="357" spans="1:18" ht="27" customHeight="1">
      <c r="A357" s="815" t="s">
        <v>350</v>
      </c>
      <c r="B357" s="826"/>
      <c r="C357" s="816" t="s">
        <v>296</v>
      </c>
      <c r="D357" s="817" t="s">
        <v>295</v>
      </c>
      <c r="E357" s="1468" t="s">
        <v>346</v>
      </c>
      <c r="F357" s="1469"/>
      <c r="G357" s="35"/>
      <c r="H357" s="35"/>
      <c r="I357" s="35"/>
      <c r="J357" s="35"/>
      <c r="K357" s="35"/>
      <c r="L357" s="35"/>
    </row>
    <row r="358" spans="1:18" ht="12.75" customHeight="1">
      <c r="A358" s="1323"/>
      <c r="B358" s="809" t="s">
        <v>559</v>
      </c>
      <c r="C358" s="810">
        <v>126351307.73</v>
      </c>
      <c r="D358" s="811">
        <v>92447753.730000004</v>
      </c>
      <c r="E358" s="1464">
        <v>78301848.409999996</v>
      </c>
      <c r="F358" s="1465"/>
      <c r="G358" s="35"/>
      <c r="H358" s="35"/>
      <c r="I358" s="35"/>
      <c r="J358" s="35"/>
      <c r="K358" s="35"/>
      <c r="L358" s="35"/>
    </row>
    <row r="359" spans="1:18" ht="12.75" customHeight="1">
      <c r="A359" s="793" t="s">
        <v>1116</v>
      </c>
      <c r="B359" s="1316" t="s">
        <v>347</v>
      </c>
      <c r="C359" s="230">
        <v>1.2664950394537172E-2</v>
      </c>
      <c r="D359" s="812">
        <v>9.2665935644989043E-3</v>
      </c>
      <c r="E359" s="1383">
        <v>7.8486645190278415E-3</v>
      </c>
      <c r="F359" s="1384"/>
      <c r="G359" s="35"/>
      <c r="H359" s="35"/>
      <c r="I359" s="35"/>
      <c r="J359" s="35"/>
      <c r="K359" s="35"/>
      <c r="L359" s="35"/>
    </row>
    <row r="360" spans="1:18" ht="13.5" customHeight="1">
      <c r="A360" s="1324"/>
      <c r="B360" s="1316" t="s">
        <v>348</v>
      </c>
      <c r="C360" s="218">
        <v>0.13935392581931538</v>
      </c>
      <c r="D360" s="316">
        <v>0.10382120200593159</v>
      </c>
      <c r="E360" s="1382">
        <v>8.8602604773364346E-2</v>
      </c>
      <c r="F360" s="1457"/>
      <c r="G360" s="35"/>
      <c r="H360" s="35"/>
      <c r="I360" s="35"/>
      <c r="J360" s="35"/>
      <c r="K360" s="35"/>
      <c r="L360" s="35"/>
    </row>
    <row r="361" spans="1:18">
      <c r="A361" s="1462" t="s">
        <v>1107</v>
      </c>
      <c r="B361" s="809" t="s">
        <v>559</v>
      </c>
      <c r="C361" s="810">
        <v>124557270.01000001</v>
      </c>
      <c r="D361" s="811">
        <v>101721406.11</v>
      </c>
      <c r="E361" s="1464">
        <v>73513717.630000025</v>
      </c>
      <c r="F361" s="1465"/>
      <c r="G361" s="808"/>
      <c r="H361" s="35"/>
      <c r="I361" s="35"/>
      <c r="J361" s="35"/>
      <c r="K361" s="35"/>
      <c r="L361" s="35"/>
      <c r="R361" s="808"/>
    </row>
    <row r="362" spans="1:18">
      <c r="A362" s="1463"/>
      <c r="B362" s="1322" t="s">
        <v>347</v>
      </c>
      <c r="C362" s="230">
        <v>1.2339136105436209E-2</v>
      </c>
      <c r="D362" s="812">
        <v>1.0076925054048398E-2</v>
      </c>
      <c r="E362" s="1383">
        <v>7.2825598006471242E-3</v>
      </c>
      <c r="F362" s="1384"/>
      <c r="H362" s="35"/>
      <c r="I362" s="35"/>
      <c r="J362" s="35"/>
      <c r="K362" s="35"/>
      <c r="L362" s="35"/>
      <c r="R362" s="49"/>
    </row>
    <row r="363" spans="1:18">
      <c r="A363" s="1463"/>
      <c r="B363" s="1322" t="s">
        <v>348</v>
      </c>
      <c r="C363" s="218">
        <v>0.13600401282272179</v>
      </c>
      <c r="D363" s="316">
        <v>0.11241369241614341</v>
      </c>
      <c r="E363" s="1382">
        <v>8.2460840200234808E-2</v>
      </c>
      <c r="F363" s="1457"/>
      <c r="G363" s="35"/>
      <c r="H363" s="35"/>
      <c r="I363" s="35"/>
      <c r="J363" s="35"/>
      <c r="K363" s="35"/>
      <c r="L363" s="35"/>
    </row>
    <row r="364" spans="1:18">
      <c r="A364" s="1462" t="s">
        <v>1096</v>
      </c>
      <c r="B364" s="809" t="s">
        <v>559</v>
      </c>
      <c r="C364" s="810">
        <v>139924914.69999999</v>
      </c>
      <c r="D364" s="811">
        <v>106569842.75999999</v>
      </c>
      <c r="E364" s="1464">
        <v>89469787.74000001</v>
      </c>
      <c r="F364" s="1465"/>
      <c r="G364" s="35"/>
      <c r="H364" s="35"/>
      <c r="I364" s="35"/>
      <c r="J364" s="35"/>
      <c r="K364" s="35"/>
      <c r="L364" s="35"/>
      <c r="R364" s="808"/>
    </row>
    <row r="365" spans="1:18">
      <c r="A365" s="1463"/>
      <c r="B365" s="1322" t="s">
        <v>347</v>
      </c>
      <c r="C365" s="230">
        <v>1.3711608331343694E-2</v>
      </c>
      <c r="D365" s="812">
        <v>1.0443057599791436E-2</v>
      </c>
      <c r="E365" s="1383">
        <v>8.7673784873090656E-3</v>
      </c>
      <c r="F365" s="1384"/>
      <c r="G365" s="825"/>
      <c r="H365" s="35"/>
      <c r="I365" s="35"/>
      <c r="J365" s="35"/>
      <c r="K365" s="35"/>
      <c r="L365" s="35"/>
      <c r="R365" s="808"/>
    </row>
    <row r="366" spans="1:18">
      <c r="A366" s="1463"/>
      <c r="B366" s="814" t="s">
        <v>348</v>
      </c>
      <c r="C366" s="311">
        <v>0.15003505844954734</v>
      </c>
      <c r="D366" s="317">
        <v>0.11627125974128627</v>
      </c>
      <c r="E366" s="1382">
        <v>9.8489867432409284E-2</v>
      </c>
      <c r="F366" s="1457"/>
      <c r="G366" s="35"/>
      <c r="H366" s="35"/>
      <c r="I366" s="35"/>
      <c r="J366" s="35"/>
      <c r="K366" s="35"/>
      <c r="L366" s="35"/>
    </row>
    <row r="367" spans="1:18">
      <c r="A367" s="1462" t="s">
        <v>349</v>
      </c>
      <c r="B367" s="804" t="s">
        <v>559</v>
      </c>
      <c r="C367" s="808">
        <v>130277830.81333333</v>
      </c>
      <c r="D367" s="813">
        <v>100246334.2</v>
      </c>
      <c r="E367" s="1471">
        <v>80428451.260000005</v>
      </c>
      <c r="F367" s="1472"/>
      <c r="G367" s="35"/>
      <c r="H367" s="35"/>
      <c r="I367" s="35"/>
      <c r="J367" s="35"/>
      <c r="K367" s="35"/>
      <c r="L367" s="35"/>
    </row>
    <row r="368" spans="1:18">
      <c r="A368" s="1463"/>
      <c r="B368" s="804" t="s">
        <v>347</v>
      </c>
      <c r="C368" s="218">
        <v>1.2905231610439027E-2</v>
      </c>
      <c r="D368" s="316">
        <v>9.928858739446246E-3</v>
      </c>
      <c r="E368" s="1404">
        <v>7.9662009356613449E-3</v>
      </c>
      <c r="F368" s="1374"/>
      <c r="G368" s="35"/>
      <c r="H368" s="35"/>
      <c r="I368" s="35"/>
      <c r="J368" s="35"/>
      <c r="K368" s="35"/>
      <c r="L368" s="35"/>
    </row>
    <row r="369" spans="1:36">
      <c r="A369" s="1470"/>
      <c r="B369" s="814" t="s">
        <v>348</v>
      </c>
      <c r="C369" s="311">
        <v>0.14179766569719485</v>
      </c>
      <c r="D369" s="317">
        <v>0.11083538472112042</v>
      </c>
      <c r="E369" s="1382">
        <v>8.9851104135336146E-2</v>
      </c>
      <c r="F369" s="1378"/>
      <c r="G369" s="35"/>
      <c r="H369" s="35"/>
      <c r="I369" s="35"/>
      <c r="J369" s="35"/>
      <c r="K369" s="35"/>
      <c r="L369" s="35"/>
    </row>
    <row r="370" spans="1:36">
      <c r="A370" s="178"/>
    </row>
    <row r="371" spans="1:36">
      <c r="A371" s="459"/>
    </row>
    <row r="372" spans="1:36" s="971" customFormat="1" ht="18.75">
      <c r="A372" s="1077" t="s">
        <v>1122</v>
      </c>
      <c r="B372" s="990"/>
      <c r="C372" s="1078"/>
      <c r="D372" s="990"/>
      <c r="E372" s="1078"/>
      <c r="F372" s="1079"/>
      <c r="G372" s="1080"/>
      <c r="M372" s="970"/>
      <c r="N372" s="970"/>
      <c r="O372" s="970"/>
      <c r="P372" s="970"/>
      <c r="Q372" s="970"/>
      <c r="R372" s="970"/>
      <c r="S372" s="970"/>
      <c r="T372" s="970"/>
      <c r="U372" s="970"/>
      <c r="V372" s="970"/>
      <c r="W372" s="970"/>
      <c r="X372" s="970"/>
      <c r="Y372" s="970"/>
      <c r="Z372" s="970"/>
      <c r="AA372" s="970"/>
      <c r="AB372" s="970"/>
      <c r="AC372" s="970"/>
      <c r="AD372" s="970"/>
      <c r="AE372" s="970"/>
      <c r="AF372" s="970"/>
      <c r="AG372" s="970"/>
      <c r="AH372" s="970"/>
      <c r="AI372" s="970"/>
      <c r="AJ372" s="970"/>
    </row>
    <row r="373" spans="1:36" s="971" customFormat="1" ht="16.5" customHeight="1">
      <c r="A373" s="1081"/>
      <c r="B373" s="976"/>
      <c r="C373" s="975"/>
      <c r="D373" s="976"/>
      <c r="E373" s="975"/>
      <c r="F373" s="970"/>
      <c r="G373" s="1082"/>
      <c r="M373" s="970"/>
      <c r="N373" s="970"/>
      <c r="O373" s="970"/>
      <c r="P373" s="970"/>
      <c r="Q373" s="970"/>
      <c r="R373" s="970"/>
      <c r="S373" s="970"/>
      <c r="T373" s="970"/>
      <c r="U373" s="970"/>
      <c r="V373" s="970"/>
      <c r="W373" s="970"/>
      <c r="X373" s="970"/>
      <c r="Y373" s="970"/>
      <c r="Z373" s="970"/>
      <c r="AA373" s="970"/>
      <c r="AB373" s="970"/>
      <c r="AC373" s="970"/>
      <c r="AD373" s="970"/>
      <c r="AE373" s="970"/>
      <c r="AF373" s="970"/>
      <c r="AG373" s="970"/>
      <c r="AH373" s="970"/>
      <c r="AI373" s="970"/>
      <c r="AJ373" s="970"/>
    </row>
    <row r="374" spans="1:36" s="971" customFormat="1">
      <c r="A374" s="1016" t="s">
        <v>228</v>
      </c>
      <c r="B374" s="976"/>
      <c r="C374" s="1083">
        <v>9872387044.9599991</v>
      </c>
      <c r="D374" s="976"/>
      <c r="E374" s="975"/>
      <c r="F374" s="970"/>
      <c r="G374" s="1082"/>
      <c r="M374" s="970"/>
      <c r="N374" s="970"/>
      <c r="O374" s="970"/>
      <c r="P374" s="970"/>
      <c r="Q374" s="970"/>
      <c r="R374" s="970"/>
      <c r="S374" s="970"/>
      <c r="T374" s="970"/>
      <c r="U374" s="970"/>
      <c r="V374" s="970"/>
      <c r="W374" s="970"/>
      <c r="X374" s="970"/>
      <c r="Y374" s="970"/>
      <c r="Z374" s="970"/>
      <c r="AA374" s="970"/>
      <c r="AB374" s="970"/>
      <c r="AC374" s="970"/>
      <c r="AD374" s="970"/>
      <c r="AE374" s="970"/>
      <c r="AF374" s="970"/>
      <c r="AG374" s="970"/>
      <c r="AH374" s="970"/>
      <c r="AI374" s="970"/>
      <c r="AJ374" s="970"/>
    </row>
    <row r="375" spans="1:36" s="971" customFormat="1" ht="14.25" customHeight="1">
      <c r="A375" s="1318" t="s">
        <v>1109</v>
      </c>
      <c r="B375" s="1317"/>
      <c r="C375" s="732">
        <v>519927947.81</v>
      </c>
      <c r="D375" s="976"/>
      <c r="E375" s="975"/>
      <c r="F375" s="970"/>
      <c r="G375" s="1082"/>
      <c r="M375" s="970"/>
      <c r="N375" s="970"/>
      <c r="O375" s="970"/>
      <c r="P375" s="970"/>
      <c r="Q375" s="970"/>
      <c r="R375" s="970"/>
      <c r="S375" s="970"/>
      <c r="T375" s="970"/>
      <c r="U375" s="970"/>
      <c r="V375" s="970"/>
      <c r="W375" s="970"/>
      <c r="X375" s="970"/>
      <c r="Y375" s="970"/>
      <c r="Z375" s="970"/>
      <c r="AA375" s="970"/>
      <c r="AB375" s="970"/>
      <c r="AC375" s="970"/>
      <c r="AD375" s="970"/>
      <c r="AE375" s="970"/>
      <c r="AF375" s="970"/>
      <c r="AG375" s="970"/>
      <c r="AH375" s="970"/>
      <c r="AI375" s="970"/>
      <c r="AJ375" s="970"/>
    </row>
    <row r="376" spans="1:36" s="971" customFormat="1" ht="14.25" customHeight="1">
      <c r="A376" s="1016" t="s">
        <v>230</v>
      </c>
      <c r="B376" s="976"/>
      <c r="C376" s="1084">
        <v>6556422272.6800003</v>
      </c>
      <c r="D376" s="976"/>
      <c r="E376" s="975"/>
      <c r="F376" s="970"/>
      <c r="G376" s="1082"/>
      <c r="M376" s="970"/>
      <c r="N376" s="970"/>
      <c r="O376" s="970"/>
      <c r="P376" s="970"/>
      <c r="Q376" s="970"/>
      <c r="R376" s="970"/>
      <c r="S376" s="970"/>
      <c r="T376" s="970"/>
      <c r="U376" s="970"/>
      <c r="V376" s="970"/>
      <c r="W376" s="970"/>
      <c r="X376" s="970"/>
      <c r="Y376" s="970"/>
      <c r="Z376" s="970"/>
      <c r="AA376" s="970"/>
      <c r="AB376" s="970"/>
      <c r="AC376" s="970"/>
      <c r="AD376" s="970"/>
      <c r="AE376" s="970"/>
      <c r="AF376" s="970"/>
      <c r="AG376" s="970"/>
      <c r="AH376" s="970"/>
      <c r="AI376" s="970"/>
      <c r="AJ376" s="970"/>
    </row>
    <row r="377" spans="1:36" s="971" customFormat="1" ht="14.25" customHeight="1">
      <c r="A377" s="1016" t="s">
        <v>231</v>
      </c>
      <c r="B377" s="976"/>
      <c r="C377" s="1085">
        <v>100</v>
      </c>
      <c r="D377" s="976"/>
      <c r="E377" s="975"/>
      <c r="F377" s="970"/>
      <c r="G377" s="1082"/>
      <c r="M377" s="970"/>
      <c r="N377" s="970"/>
      <c r="O377" s="970"/>
      <c r="P377" s="970"/>
      <c r="Q377" s="970"/>
      <c r="R377" s="970"/>
      <c r="S377" s="970"/>
      <c r="T377" s="970"/>
      <c r="U377" s="970"/>
      <c r="V377" s="970"/>
      <c r="W377" s="970"/>
      <c r="X377" s="970"/>
      <c r="Y377" s="970"/>
      <c r="Z377" s="970"/>
      <c r="AA377" s="970"/>
      <c r="AB377" s="970"/>
      <c r="AC377" s="970"/>
      <c r="AD377" s="970"/>
      <c r="AE377" s="970"/>
      <c r="AF377" s="970"/>
      <c r="AG377" s="970"/>
      <c r="AH377" s="970"/>
      <c r="AI377" s="970"/>
      <c r="AJ377" s="970"/>
    </row>
    <row r="378" spans="1:36" s="971" customFormat="1" ht="14.25" customHeight="1">
      <c r="A378" s="1016" t="s">
        <v>232</v>
      </c>
      <c r="B378" s="976"/>
      <c r="C378" s="1085">
        <v>6556422372.6800003</v>
      </c>
      <c r="D378" s="976"/>
      <c r="E378" s="975"/>
      <c r="F378" s="970"/>
      <c r="G378" s="1082"/>
      <c r="M378" s="970"/>
      <c r="N378" s="970"/>
      <c r="O378" s="970"/>
      <c r="P378" s="970"/>
      <c r="Q378" s="970"/>
      <c r="R378" s="970"/>
      <c r="S378" s="970"/>
      <c r="T378" s="970"/>
      <c r="U378" s="970"/>
      <c r="V378" s="970"/>
      <c r="W378" s="970"/>
      <c r="X378" s="970"/>
      <c r="Y378" s="970"/>
      <c r="Z378" s="970"/>
      <c r="AA378" s="970"/>
      <c r="AB378" s="970"/>
      <c r="AC378" s="970"/>
      <c r="AD378" s="970"/>
      <c r="AE378" s="970"/>
      <c r="AF378" s="970"/>
      <c r="AG378" s="970"/>
      <c r="AH378" s="970"/>
      <c r="AI378" s="970"/>
      <c r="AJ378" s="970"/>
    </row>
    <row r="379" spans="1:36" s="971" customFormat="1" ht="14.25" customHeight="1">
      <c r="A379" s="1016" t="s">
        <v>477</v>
      </c>
      <c r="B379" s="976"/>
      <c r="C379" s="1086">
        <v>0.66411719999999996</v>
      </c>
      <c r="D379" s="976"/>
      <c r="E379" s="975"/>
      <c r="F379" s="970"/>
      <c r="G379" s="1082"/>
      <c r="M379" s="970"/>
      <c r="N379" s="970"/>
      <c r="O379" s="970"/>
      <c r="P379" s="970"/>
      <c r="Q379" s="970"/>
      <c r="R379" s="970"/>
      <c r="S379" s="970"/>
      <c r="T379" s="970"/>
      <c r="U379" s="970"/>
      <c r="V379" s="970"/>
      <c r="W379" s="970"/>
      <c r="X379" s="970"/>
      <c r="Y379" s="970"/>
      <c r="Z379" s="970"/>
      <c r="AA379" s="970"/>
      <c r="AB379" s="970"/>
      <c r="AC379" s="970"/>
      <c r="AD379" s="970"/>
      <c r="AE379" s="970"/>
      <c r="AF379" s="970"/>
      <c r="AG379" s="970"/>
      <c r="AH379" s="970"/>
      <c r="AI379" s="970"/>
      <c r="AJ379" s="970"/>
    </row>
    <row r="380" spans="1:36" s="971" customFormat="1" ht="14.25" customHeight="1">
      <c r="A380" s="1016" t="s">
        <v>43</v>
      </c>
      <c r="B380" s="976"/>
      <c r="C380" s="1086">
        <v>0</v>
      </c>
      <c r="D380" s="976"/>
      <c r="E380" s="975"/>
      <c r="F380" s="970"/>
      <c r="G380" s="1082"/>
      <c r="M380" s="970"/>
      <c r="N380" s="970"/>
      <c r="O380" s="970"/>
      <c r="P380" s="970"/>
      <c r="Q380" s="970"/>
      <c r="R380" s="970"/>
      <c r="S380" s="970"/>
      <c r="T380" s="970"/>
      <c r="U380" s="970"/>
      <c r="V380" s="970"/>
      <c r="W380" s="970"/>
      <c r="X380" s="970"/>
      <c r="Y380" s="970"/>
      <c r="Z380" s="970"/>
      <c r="AA380" s="970"/>
      <c r="AB380" s="970"/>
      <c r="AC380" s="970"/>
      <c r="AD380" s="970"/>
      <c r="AE380" s="970"/>
      <c r="AF380" s="970"/>
      <c r="AG380" s="970"/>
      <c r="AH380" s="970"/>
      <c r="AI380" s="970"/>
      <c r="AJ380" s="970"/>
    </row>
    <row r="381" spans="1:36" s="971" customFormat="1" ht="14.25" customHeight="1">
      <c r="A381" s="1016" t="s">
        <v>44</v>
      </c>
      <c r="B381" s="976"/>
      <c r="C381" s="1087">
        <v>3315964672.2799988</v>
      </c>
      <c r="D381" s="976"/>
      <c r="E381" s="975"/>
      <c r="F381" s="970"/>
      <c r="G381" s="1088"/>
      <c r="M381" s="970"/>
      <c r="N381" s="970"/>
      <c r="O381" s="970"/>
      <c r="P381" s="970"/>
      <c r="Q381" s="970"/>
      <c r="R381" s="970"/>
      <c r="S381" s="970"/>
      <c r="T381" s="970"/>
      <c r="U381" s="970"/>
      <c r="V381" s="970"/>
      <c r="W381" s="970"/>
      <c r="X381" s="970"/>
      <c r="Y381" s="970"/>
      <c r="Z381" s="970"/>
      <c r="AA381" s="970"/>
      <c r="AB381" s="970"/>
      <c r="AC381" s="970"/>
      <c r="AD381" s="970"/>
      <c r="AE381" s="970"/>
      <c r="AF381" s="970"/>
      <c r="AG381" s="970"/>
      <c r="AH381" s="970"/>
      <c r="AI381" s="970"/>
      <c r="AJ381" s="970"/>
    </row>
    <row r="382" spans="1:36" s="971" customFormat="1" ht="14.25" customHeight="1">
      <c r="A382" s="1016" t="s">
        <v>45</v>
      </c>
      <c r="B382" s="976"/>
      <c r="C382" s="1086">
        <v>0.33588279999999998</v>
      </c>
      <c r="D382" s="976"/>
      <c r="E382" s="975"/>
      <c r="F382" s="970"/>
      <c r="G382" s="1089"/>
      <c r="M382" s="970"/>
      <c r="N382" s="970"/>
      <c r="O382" s="970"/>
      <c r="P382" s="970"/>
      <c r="Q382" s="970"/>
      <c r="R382" s="970"/>
      <c r="S382" s="970"/>
      <c r="T382" s="970"/>
      <c r="U382" s="970"/>
      <c r="V382" s="970"/>
      <c r="W382" s="970"/>
      <c r="X382" s="970"/>
      <c r="Y382" s="970"/>
      <c r="Z382" s="970"/>
      <c r="AA382" s="970"/>
      <c r="AB382" s="970"/>
      <c r="AC382" s="970"/>
      <c r="AD382" s="970"/>
      <c r="AE382" s="970"/>
      <c r="AF382" s="970"/>
      <c r="AG382" s="970"/>
      <c r="AH382" s="970"/>
      <c r="AI382" s="970"/>
      <c r="AJ382" s="970"/>
    </row>
    <row r="383" spans="1:36" s="971" customFormat="1" ht="14.25" customHeight="1">
      <c r="A383" s="1016" t="s">
        <v>46</v>
      </c>
      <c r="B383" s="976"/>
      <c r="C383" s="1087">
        <v>1197966640.4105198</v>
      </c>
      <c r="D383" s="1090"/>
      <c r="E383" s="975"/>
      <c r="F383" s="970"/>
      <c r="G383" s="1082"/>
      <c r="M383" s="970"/>
      <c r="N383" s="970"/>
      <c r="O383" s="970"/>
      <c r="P383" s="970"/>
      <c r="Q383" s="970"/>
      <c r="R383" s="970"/>
      <c r="S383" s="970"/>
      <c r="T383" s="970"/>
      <c r="U383" s="970"/>
      <c r="V383" s="970"/>
      <c r="W383" s="970"/>
      <c r="X383" s="970"/>
      <c r="Y383" s="970"/>
      <c r="Z383" s="970"/>
      <c r="AA383" s="970"/>
      <c r="AB383" s="970"/>
      <c r="AC383" s="970"/>
      <c r="AD383" s="970"/>
      <c r="AE383" s="970"/>
      <c r="AF383" s="970"/>
      <c r="AG383" s="970"/>
      <c r="AH383" s="970"/>
      <c r="AI383" s="970"/>
      <c r="AJ383" s="970"/>
    </row>
    <row r="384" spans="1:36" s="971" customFormat="1" ht="14.25" customHeight="1">
      <c r="A384" s="1016" t="s">
        <v>47</v>
      </c>
      <c r="B384" s="976"/>
      <c r="C384" s="1091">
        <v>0.12134518581522791</v>
      </c>
      <c r="D384" s="976"/>
      <c r="E384" s="975"/>
      <c r="F384" s="970"/>
      <c r="G384" s="1082"/>
      <c r="M384" s="970"/>
      <c r="N384" s="970"/>
      <c r="O384" s="970"/>
      <c r="P384" s="970"/>
      <c r="Q384" s="970"/>
      <c r="R384" s="970"/>
      <c r="S384" s="970"/>
      <c r="T384" s="970"/>
      <c r="U384" s="970"/>
      <c r="V384" s="970"/>
      <c r="W384" s="970"/>
      <c r="X384" s="970"/>
      <c r="Y384" s="970"/>
      <c r="Z384" s="970"/>
      <c r="AA384" s="970"/>
      <c r="AB384" s="970"/>
      <c r="AC384" s="970"/>
      <c r="AD384" s="970"/>
      <c r="AE384" s="970"/>
      <c r="AF384" s="970"/>
      <c r="AG384" s="970"/>
      <c r="AH384" s="970"/>
      <c r="AI384" s="970"/>
      <c r="AJ384" s="970"/>
    </row>
    <row r="385" spans="1:36" s="971" customFormat="1" ht="14.25" customHeight="1">
      <c r="A385" s="1318" t="s">
        <v>42</v>
      </c>
      <c r="B385" s="1254"/>
      <c r="C385" s="1520">
        <v>13677269.250183642</v>
      </c>
      <c r="D385" s="976"/>
      <c r="E385" s="975"/>
      <c r="F385" s="970"/>
      <c r="G385" s="1082"/>
      <c r="M385" s="970"/>
      <c r="N385" s="970"/>
      <c r="O385" s="970"/>
      <c r="P385" s="970"/>
      <c r="Q385" s="970"/>
      <c r="R385" s="970"/>
      <c r="S385" s="970"/>
      <c r="T385" s="970"/>
      <c r="U385" s="970"/>
      <c r="V385" s="970"/>
      <c r="W385" s="970"/>
      <c r="X385" s="970"/>
      <c r="Y385" s="970"/>
      <c r="Z385" s="970"/>
      <c r="AA385" s="970"/>
      <c r="AB385" s="970"/>
      <c r="AC385" s="970"/>
      <c r="AD385" s="970"/>
      <c r="AE385" s="970"/>
      <c r="AF385" s="970"/>
      <c r="AG385" s="970"/>
      <c r="AH385" s="970"/>
      <c r="AI385" s="970"/>
      <c r="AJ385" s="970"/>
    </row>
    <row r="386" spans="1:36" s="971" customFormat="1" ht="14.25" customHeight="1">
      <c r="A386" s="1521" t="s">
        <v>560</v>
      </c>
      <c r="B386" s="1254"/>
      <c r="C386" s="1258">
        <v>8.0641140506597375E-3</v>
      </c>
      <c r="D386" s="976"/>
      <c r="E386" s="975"/>
      <c r="F386" s="970"/>
      <c r="G386" s="1082"/>
      <c r="M386" s="970"/>
      <c r="N386" s="970"/>
      <c r="O386" s="970"/>
      <c r="P386" s="970"/>
      <c r="Q386" s="970"/>
      <c r="R386" s="970"/>
      <c r="S386" s="970"/>
      <c r="T386" s="970"/>
      <c r="U386" s="970"/>
      <c r="V386" s="970"/>
      <c r="W386" s="970"/>
      <c r="X386" s="970"/>
      <c r="Y386" s="970"/>
      <c r="Z386" s="970"/>
      <c r="AA386" s="970"/>
      <c r="AB386" s="970"/>
      <c r="AC386" s="970"/>
      <c r="AD386" s="970"/>
      <c r="AE386" s="970"/>
      <c r="AF386" s="970"/>
      <c r="AG386" s="970"/>
      <c r="AH386" s="970"/>
      <c r="AI386" s="970"/>
      <c r="AJ386" s="970"/>
    </row>
    <row r="387" spans="1:36" s="971" customFormat="1" ht="14.25" customHeight="1">
      <c r="A387" s="1507"/>
      <c r="B387" s="1254"/>
      <c r="C387" s="1305"/>
      <c r="D387" s="976"/>
      <c r="E387" s="975"/>
      <c r="F387" s="970"/>
      <c r="G387" s="1088"/>
      <c r="M387" s="970"/>
      <c r="N387" s="970"/>
      <c r="O387" s="970"/>
      <c r="P387" s="970"/>
      <c r="Q387" s="970"/>
      <c r="R387" s="970"/>
      <c r="S387" s="970"/>
      <c r="T387" s="970"/>
      <c r="U387" s="970"/>
      <c r="V387" s="970"/>
      <c r="W387" s="970"/>
      <c r="X387" s="970"/>
      <c r="Y387" s="970"/>
      <c r="Z387" s="970"/>
      <c r="AA387" s="970"/>
      <c r="AB387" s="970"/>
      <c r="AC387" s="970"/>
      <c r="AD387" s="970"/>
      <c r="AE387" s="970"/>
      <c r="AF387" s="970"/>
      <c r="AG387" s="970"/>
      <c r="AH387" s="970"/>
      <c r="AI387" s="970"/>
      <c r="AJ387" s="970"/>
    </row>
    <row r="388" spans="1:36" s="971" customFormat="1" ht="12.75" customHeight="1">
      <c r="A388" s="1522" t="s">
        <v>1053</v>
      </c>
      <c r="B388" s="1523"/>
      <c r="C388" s="1523"/>
      <c r="D388" s="976"/>
      <c r="E388" s="975"/>
      <c r="F388" s="970"/>
      <c r="G388" s="1088"/>
      <c r="M388" s="970"/>
      <c r="N388" s="970"/>
      <c r="O388" s="970"/>
      <c r="P388" s="970"/>
      <c r="Q388" s="970"/>
      <c r="R388" s="970"/>
      <c r="S388" s="970"/>
      <c r="T388" s="970"/>
      <c r="U388" s="970"/>
      <c r="V388" s="970"/>
      <c r="W388" s="970"/>
      <c r="X388" s="970"/>
      <c r="Y388" s="970"/>
      <c r="Z388" s="970"/>
      <c r="AA388" s="970"/>
      <c r="AB388" s="970"/>
      <c r="AC388" s="970"/>
      <c r="AD388" s="970"/>
      <c r="AE388" s="970"/>
      <c r="AF388" s="970"/>
      <c r="AG388" s="970"/>
      <c r="AH388" s="970"/>
      <c r="AI388" s="970"/>
      <c r="AJ388" s="970"/>
    </row>
    <row r="389" spans="1:36" s="971" customFormat="1" ht="30.75" customHeight="1">
      <c r="A389" s="1522"/>
      <c r="B389" s="1523"/>
      <c r="C389" s="1523"/>
      <c r="D389" s="976"/>
      <c r="E389" s="975"/>
      <c r="F389" s="970"/>
      <c r="G389" s="1000"/>
      <c r="M389" s="970"/>
      <c r="N389" s="970"/>
      <c r="O389" s="970"/>
      <c r="P389" s="970"/>
      <c r="Q389" s="970"/>
      <c r="R389" s="970"/>
      <c r="S389" s="970"/>
      <c r="T389" s="970"/>
      <c r="U389" s="970"/>
      <c r="V389" s="970"/>
      <c r="W389" s="970"/>
      <c r="X389" s="970"/>
      <c r="Y389" s="970"/>
      <c r="Z389" s="970"/>
      <c r="AA389" s="970"/>
      <c r="AB389" s="970"/>
      <c r="AC389" s="970"/>
      <c r="AD389" s="970"/>
      <c r="AE389" s="970"/>
      <c r="AF389" s="970"/>
      <c r="AG389" s="970"/>
      <c r="AH389" s="970"/>
      <c r="AI389" s="970"/>
      <c r="AJ389" s="970"/>
    </row>
    <row r="390" spans="1:36" s="971" customFormat="1" ht="14.25" customHeight="1">
      <c r="A390" s="1092"/>
      <c r="B390" s="1093"/>
      <c r="C390" s="1093"/>
      <c r="D390" s="1031"/>
      <c r="E390" s="1094"/>
      <c r="F390" s="1075"/>
      <c r="G390" s="1069"/>
      <c r="M390" s="970"/>
      <c r="N390" s="970"/>
      <c r="O390" s="970"/>
      <c r="P390" s="970"/>
      <c r="Q390" s="970"/>
      <c r="R390" s="970"/>
      <c r="S390" s="970"/>
      <c r="T390" s="970"/>
      <c r="U390" s="970"/>
      <c r="V390" s="970"/>
      <c r="W390" s="970"/>
      <c r="X390" s="970"/>
      <c r="Y390" s="970"/>
      <c r="Z390" s="970"/>
      <c r="AA390" s="970"/>
      <c r="AB390" s="970"/>
      <c r="AC390" s="970"/>
      <c r="AD390" s="970"/>
      <c r="AE390" s="970"/>
      <c r="AF390" s="970"/>
      <c r="AG390" s="970"/>
      <c r="AH390" s="970"/>
      <c r="AI390" s="970"/>
      <c r="AJ390" s="970"/>
    </row>
    <row r="391" spans="1:36" ht="14.25" customHeight="1">
      <c r="A391" s="190"/>
      <c r="C391" s="33"/>
      <c r="G391" s="35"/>
    </row>
    <row r="392" spans="1:36" ht="14.25" customHeight="1">
      <c r="A392" s="190"/>
      <c r="C392" s="33"/>
      <c r="G392" s="35"/>
    </row>
    <row r="393" spans="1:36" ht="20.25" customHeight="1">
      <c r="A393" s="897" t="s">
        <v>497</v>
      </c>
      <c r="B393" s="183"/>
      <c r="C393" s="218"/>
      <c r="D393" s="183"/>
      <c r="E393" s="218"/>
      <c r="F393" s="35"/>
      <c r="G393" s="101"/>
    </row>
    <row r="394" spans="1:36">
      <c r="A394" s="90"/>
      <c r="B394" s="183"/>
      <c r="C394" s="361"/>
      <c r="D394" s="183"/>
      <c r="E394" s="218"/>
      <c r="F394" s="35"/>
      <c r="G394" s="216"/>
    </row>
    <row r="395" spans="1:36" ht="15.75">
      <c r="A395" s="899" t="s">
        <v>49</v>
      </c>
      <c r="B395" s="306"/>
      <c r="C395" s="359"/>
      <c r="D395" s="900"/>
      <c r="E395" s="901"/>
      <c r="F395" s="901"/>
      <c r="G395" s="902"/>
    </row>
    <row r="396" spans="1:36" ht="15.75">
      <c r="A396" s="414"/>
      <c r="B396" s="183"/>
      <c r="C396" s="218"/>
      <c r="D396" s="219"/>
      <c r="E396" s="220"/>
      <c r="F396" s="220"/>
      <c r="G396" s="327"/>
    </row>
    <row r="397" spans="1:36">
      <c r="A397" s="554" t="s">
        <v>56</v>
      </c>
      <c r="B397" s="183"/>
      <c r="C397" s="219" t="s">
        <v>1097</v>
      </c>
      <c r="D397" s="220" t="s">
        <v>1098</v>
      </c>
      <c r="E397" s="220" t="s">
        <v>1099</v>
      </c>
      <c r="F397" s="220" t="s">
        <v>1041</v>
      </c>
      <c r="G397" s="51"/>
    </row>
    <row r="398" spans="1:36">
      <c r="A398" s="554"/>
      <c r="B398" s="183"/>
      <c r="C398" s="219"/>
      <c r="D398" s="220"/>
      <c r="E398" s="99"/>
      <c r="F398" s="35"/>
      <c r="G398" s="51"/>
    </row>
    <row r="399" spans="1:36">
      <c r="A399" s="555" t="s">
        <v>50</v>
      </c>
      <c r="B399" s="183"/>
      <c r="C399" s="556" t="s">
        <v>672</v>
      </c>
      <c r="D399" s="556" t="s">
        <v>672</v>
      </c>
      <c r="E399" s="556" t="s">
        <v>672</v>
      </c>
      <c r="F399" s="556" t="s">
        <v>672</v>
      </c>
      <c r="G399" s="51"/>
    </row>
    <row r="400" spans="1:36">
      <c r="A400" s="557" t="s">
        <v>51</v>
      </c>
      <c r="B400" s="558"/>
      <c r="C400" s="225">
        <v>16402284.300000001</v>
      </c>
      <c r="D400" s="49">
        <v>15984704.68</v>
      </c>
      <c r="E400" s="49">
        <v>15969992.33</v>
      </c>
      <c r="F400" s="559">
        <v>48356981.310000002</v>
      </c>
      <c r="G400" s="51"/>
    </row>
    <row r="401" spans="1:7">
      <c r="A401" s="1318" t="s">
        <v>1110</v>
      </c>
      <c r="B401" s="183"/>
      <c r="C401" s="225">
        <v>1954997.78</v>
      </c>
      <c r="D401" s="49">
        <v>2122940.79</v>
      </c>
      <c r="E401" s="49">
        <v>2077868.88</v>
      </c>
      <c r="F401" s="559">
        <v>6155807.4500000002</v>
      </c>
      <c r="G401" s="51"/>
    </row>
    <row r="402" spans="1:7">
      <c r="A402" s="557" t="s">
        <v>128</v>
      </c>
      <c r="B402" s="183"/>
      <c r="C402" s="49">
        <v>0</v>
      </c>
      <c r="D402" s="49">
        <v>0</v>
      </c>
      <c r="E402" s="49">
        <v>0</v>
      </c>
      <c r="F402" s="49">
        <v>0</v>
      </c>
      <c r="G402" s="51"/>
    </row>
    <row r="403" spans="1:7">
      <c r="A403" s="557" t="s">
        <v>288</v>
      </c>
      <c r="B403" s="183"/>
      <c r="C403" s="225">
        <v>45307.41</v>
      </c>
      <c r="D403" s="1314">
        <v>43081.68</v>
      </c>
      <c r="E403" s="1314">
        <v>41823.39</v>
      </c>
      <c r="F403" s="559">
        <v>130212.48</v>
      </c>
      <c r="G403" s="51"/>
    </row>
    <row r="404" spans="1:7">
      <c r="A404" s="557" t="s">
        <v>130</v>
      </c>
      <c r="B404" s="183"/>
      <c r="C404" s="49">
        <v>0</v>
      </c>
      <c r="D404" s="49">
        <v>0</v>
      </c>
      <c r="E404" s="49"/>
      <c r="F404" s="49">
        <v>0</v>
      </c>
      <c r="G404" s="51"/>
    </row>
    <row r="405" spans="1:7" ht="15.75" customHeight="1" thickBot="1">
      <c r="A405" s="307"/>
      <c r="B405" s="896" t="s">
        <v>50</v>
      </c>
      <c r="C405" s="89">
        <v>18402589.490000002</v>
      </c>
      <c r="D405" s="895">
        <v>18150727.149999999</v>
      </c>
      <c r="E405" s="895">
        <v>18089684.600000001</v>
      </c>
      <c r="F405" s="89">
        <v>54643001.240000002</v>
      </c>
      <c r="G405" s="51"/>
    </row>
    <row r="406" spans="1:7" ht="13.5" thickTop="1">
      <c r="A406" s="560"/>
      <c r="B406" s="183"/>
      <c r="C406" s="218"/>
      <c r="D406" s="183"/>
      <c r="E406" s="183"/>
      <c r="F406" s="35"/>
      <c r="G406" s="51"/>
    </row>
    <row r="407" spans="1:7">
      <c r="A407" s="555" t="s">
        <v>131</v>
      </c>
      <c r="B407" s="561"/>
      <c r="C407" s="556" t="s">
        <v>672</v>
      </c>
      <c r="D407" s="556" t="s">
        <v>672</v>
      </c>
      <c r="E407" s="556" t="s">
        <v>672</v>
      </c>
      <c r="F407" s="556" t="s">
        <v>672</v>
      </c>
      <c r="G407" s="51"/>
    </row>
    <row r="408" spans="1:7">
      <c r="A408" s="557" t="s">
        <v>133</v>
      </c>
      <c r="B408" s="561"/>
      <c r="C408" s="1168">
        <v>450785.26</v>
      </c>
      <c r="D408" s="1170">
        <v>456020.18</v>
      </c>
      <c r="E408" s="49">
        <v>460998.54000000004</v>
      </c>
      <c r="F408" s="559">
        <v>1367803.98</v>
      </c>
      <c r="G408" s="51"/>
    </row>
    <row r="409" spans="1:7">
      <c r="A409" s="557" t="s">
        <v>134</v>
      </c>
      <c r="B409" s="561"/>
      <c r="C409" s="1169">
        <v>6106150.0300000003</v>
      </c>
      <c r="D409" s="1170">
        <v>6136669.4699999997</v>
      </c>
      <c r="E409" s="49">
        <v>6034856.2999999998</v>
      </c>
      <c r="F409" s="559">
        <v>18277675.800000001</v>
      </c>
      <c r="G409" s="51"/>
    </row>
    <row r="410" spans="1:7">
      <c r="A410" s="557" t="s">
        <v>135</v>
      </c>
      <c r="B410" s="183"/>
      <c r="C410" s="1171">
        <v>11845654.199999999</v>
      </c>
      <c r="D410" s="1170">
        <v>11558037.5</v>
      </c>
      <c r="E410" s="49">
        <v>11593829.76</v>
      </c>
      <c r="F410" s="559">
        <v>34997521.460000001</v>
      </c>
      <c r="G410" s="51"/>
    </row>
    <row r="411" spans="1:7">
      <c r="A411" s="557" t="s">
        <v>927</v>
      </c>
      <c r="B411" s="183"/>
      <c r="C411" s="49">
        <v>0</v>
      </c>
      <c r="D411" s="49">
        <v>0</v>
      </c>
      <c r="E411" s="49">
        <v>0</v>
      </c>
      <c r="F411" s="49">
        <v>0</v>
      </c>
      <c r="G411" s="51"/>
    </row>
    <row r="412" spans="1:7" ht="13.5" customHeight="1" thickBot="1">
      <c r="A412" s="307"/>
      <c r="B412" s="183"/>
      <c r="C412" s="89">
        <v>18402589.489999998</v>
      </c>
      <c r="D412" s="895">
        <v>18150727.149999999</v>
      </c>
      <c r="E412" s="895">
        <v>18089684.600000001</v>
      </c>
      <c r="F412" s="89">
        <v>54643001.240000002</v>
      </c>
      <c r="G412" s="51"/>
    </row>
    <row r="413" spans="1:7" ht="13.5" customHeight="1" thickTop="1">
      <c r="A413" s="307"/>
      <c r="B413" s="183"/>
      <c r="C413" s="183"/>
      <c r="D413" s="183"/>
      <c r="E413" s="183"/>
      <c r="F413" s="183"/>
      <c r="G413" s="51"/>
    </row>
    <row r="414" spans="1:7" ht="13.5" customHeight="1">
      <c r="A414" s="565"/>
      <c r="B414" s="183"/>
      <c r="C414" s="218"/>
      <c r="D414" s="183"/>
      <c r="E414" s="566"/>
      <c r="F414" s="35"/>
      <c r="G414" s="51"/>
    </row>
    <row r="415" spans="1:7" ht="13.5" customHeight="1">
      <c r="A415" s="555" t="s">
        <v>187</v>
      </c>
      <c r="B415" s="183"/>
      <c r="C415" s="556" t="s">
        <v>672</v>
      </c>
      <c r="D415" s="556" t="s">
        <v>672</v>
      </c>
      <c r="E415" s="556" t="s">
        <v>672</v>
      </c>
      <c r="F415" s="556" t="s">
        <v>672</v>
      </c>
      <c r="G415" s="51"/>
    </row>
    <row r="416" spans="1:7" ht="13.5" customHeight="1">
      <c r="A416" s="557" t="s">
        <v>188</v>
      </c>
      <c r="B416" s="183"/>
      <c r="C416" s="183">
        <v>130846328.11</v>
      </c>
      <c r="D416" s="49">
        <v>116013361.64</v>
      </c>
      <c r="E416" s="49">
        <v>118267962.78</v>
      </c>
      <c r="F416" s="183">
        <v>365127652.52999997</v>
      </c>
      <c r="G416" s="51"/>
    </row>
    <row r="417" spans="1:7" ht="13.5" customHeight="1">
      <c r="A417" s="1318" t="s">
        <v>1111</v>
      </c>
      <c r="B417" s="183"/>
      <c r="C417" s="183">
        <v>12520390.199999999</v>
      </c>
      <c r="D417" s="49">
        <v>12159781.609999999</v>
      </c>
      <c r="E417" s="49">
        <v>11868234.859999999</v>
      </c>
      <c r="F417" s="183">
        <v>36548406.670000002</v>
      </c>
      <c r="G417" s="51"/>
    </row>
    <row r="418" spans="1:7" ht="13.5" customHeight="1">
      <c r="A418" s="557" t="s">
        <v>189</v>
      </c>
      <c r="B418" s="183"/>
      <c r="C418" s="49">
        <v>0</v>
      </c>
      <c r="D418" s="49">
        <v>0</v>
      </c>
      <c r="E418" s="49">
        <v>0</v>
      </c>
      <c r="F418" s="49">
        <v>0</v>
      </c>
      <c r="G418" s="51"/>
    </row>
    <row r="419" spans="1:7" ht="13.5" customHeight="1">
      <c r="A419" s="557" t="s">
        <v>190</v>
      </c>
      <c r="B419" s="183"/>
      <c r="C419" s="49">
        <v>0</v>
      </c>
      <c r="D419" s="49">
        <v>0</v>
      </c>
      <c r="E419" s="49">
        <v>0</v>
      </c>
      <c r="F419" s="49">
        <v>0</v>
      </c>
      <c r="G419" s="51"/>
    </row>
    <row r="420" spans="1:7" ht="13.5" customHeight="1" thickBot="1">
      <c r="A420" s="557"/>
      <c r="B420" s="896" t="s">
        <v>187</v>
      </c>
      <c r="C420" s="89">
        <v>143366718.31</v>
      </c>
      <c r="D420" s="895">
        <v>128173143.25</v>
      </c>
      <c r="E420" s="895">
        <v>130136197.64</v>
      </c>
      <c r="F420" s="89">
        <v>401676059.19999999</v>
      </c>
      <c r="G420" s="51"/>
    </row>
    <row r="421" spans="1:7" ht="13.5" customHeight="1" thickTop="1">
      <c r="A421" s="557"/>
      <c r="B421" s="183"/>
      <c r="C421" s="218"/>
      <c r="D421" s="183"/>
      <c r="E421" s="183"/>
      <c r="F421" s="183"/>
      <c r="G421" s="51"/>
    </row>
    <row r="422" spans="1:7" ht="13.5" customHeight="1">
      <c r="A422" s="555" t="s">
        <v>191</v>
      </c>
      <c r="B422" s="183"/>
      <c r="C422" s="556" t="s">
        <v>672</v>
      </c>
      <c r="D422" s="556" t="s">
        <v>672</v>
      </c>
      <c r="E422" s="556" t="s">
        <v>672</v>
      </c>
      <c r="F422" s="556" t="s">
        <v>672</v>
      </c>
      <c r="G422" s="51"/>
    </row>
    <row r="423" spans="1:7" ht="13.5" customHeight="1">
      <c r="A423" s="557" t="s">
        <v>192</v>
      </c>
      <c r="B423" s="183"/>
      <c r="C423" s="49">
        <v>0</v>
      </c>
      <c r="D423" s="49">
        <v>0</v>
      </c>
      <c r="E423" s="49">
        <v>0</v>
      </c>
      <c r="F423" s="49">
        <v>0</v>
      </c>
      <c r="G423" s="51"/>
    </row>
    <row r="424" spans="1:7" ht="13.5" customHeight="1">
      <c r="A424" s="557" t="s">
        <v>193</v>
      </c>
      <c r="B424" s="183"/>
      <c r="C424" s="49">
        <v>0</v>
      </c>
      <c r="D424" s="49">
        <v>0</v>
      </c>
      <c r="E424" s="49">
        <v>0</v>
      </c>
      <c r="F424" s="49">
        <v>0</v>
      </c>
      <c r="G424" s="51"/>
    </row>
    <row r="425" spans="1:7" ht="13.5" customHeight="1">
      <c r="A425" s="1318" t="s">
        <v>1112</v>
      </c>
      <c r="B425" s="183"/>
      <c r="C425" s="49">
        <v>3441803.61</v>
      </c>
      <c r="D425" s="49">
        <v>3615873.24</v>
      </c>
      <c r="E425" s="49">
        <v>3784889.91</v>
      </c>
      <c r="F425" s="49">
        <v>10842566.76</v>
      </c>
      <c r="G425" s="51"/>
    </row>
    <row r="426" spans="1:7" ht="13.5" customHeight="1">
      <c r="A426" s="557" t="s">
        <v>1054</v>
      </c>
      <c r="B426" s="183"/>
      <c r="C426" s="49">
        <v>0</v>
      </c>
      <c r="D426" s="49">
        <v>0</v>
      </c>
      <c r="E426" s="49">
        <v>0</v>
      </c>
      <c r="F426" s="49">
        <v>0</v>
      </c>
      <c r="G426" s="51"/>
    </row>
    <row r="427" spans="1:7" ht="13.5" customHeight="1">
      <c r="A427" s="557" t="s">
        <v>1055</v>
      </c>
      <c r="B427" s="183"/>
      <c r="C427" s="49">
        <v>0</v>
      </c>
      <c r="D427" s="49">
        <v>0</v>
      </c>
      <c r="E427" s="49">
        <v>0</v>
      </c>
      <c r="F427" s="49">
        <v>0</v>
      </c>
      <c r="G427" s="51"/>
    </row>
    <row r="428" spans="1:7" ht="13.5" customHeight="1">
      <c r="A428" s="557" t="s">
        <v>194</v>
      </c>
      <c r="B428" s="183"/>
      <c r="C428" s="49">
        <v>139924914.69999999</v>
      </c>
      <c r="D428" s="49">
        <v>32602672.210000001</v>
      </c>
      <c r="E428" s="49">
        <v>-163668.32999999999</v>
      </c>
      <c r="F428" s="49">
        <v>172363918.57999998</v>
      </c>
      <c r="G428" s="51"/>
    </row>
    <row r="429" spans="1:7" ht="13.5" customHeight="1">
      <c r="A429" s="557" t="s">
        <v>195</v>
      </c>
      <c r="B429" s="183"/>
      <c r="C429" s="49">
        <v>0</v>
      </c>
      <c r="D429" s="49">
        <v>0</v>
      </c>
      <c r="E429" s="49">
        <v>0</v>
      </c>
      <c r="F429" s="49">
        <v>0</v>
      </c>
      <c r="G429" s="51"/>
    </row>
    <row r="430" spans="1:7" ht="13.5" customHeight="1">
      <c r="A430" s="557" t="s">
        <v>196</v>
      </c>
      <c r="B430" s="183"/>
      <c r="C430" s="49">
        <v>0</v>
      </c>
      <c r="D430" s="49">
        <v>0</v>
      </c>
      <c r="E430" s="49">
        <v>0</v>
      </c>
      <c r="F430" s="49">
        <v>0</v>
      </c>
      <c r="G430" s="51"/>
    </row>
    <row r="431" spans="1:7" ht="13.5" customHeight="1">
      <c r="A431" s="557" t="s">
        <v>197</v>
      </c>
      <c r="B431" s="183"/>
      <c r="C431" s="49">
        <v>0</v>
      </c>
      <c r="D431" s="49">
        <v>0</v>
      </c>
      <c r="E431" s="49">
        <v>0</v>
      </c>
      <c r="F431" s="49">
        <v>0</v>
      </c>
      <c r="G431" s="51"/>
    </row>
    <row r="432" spans="1:7" ht="13.5" customHeight="1">
      <c r="A432" s="557" t="s">
        <v>198</v>
      </c>
      <c r="B432" s="183"/>
      <c r="C432" s="49">
        <v>0</v>
      </c>
      <c r="D432" s="49">
        <v>91954597.799999997</v>
      </c>
      <c r="E432" s="49">
        <v>126514976.06</v>
      </c>
      <c r="F432" s="49">
        <v>218469573.86000001</v>
      </c>
      <c r="G432" s="51"/>
    </row>
    <row r="433" spans="1:7" ht="13.5" customHeight="1">
      <c r="A433" s="557" t="s">
        <v>199</v>
      </c>
      <c r="B433" s="183"/>
      <c r="C433" s="49">
        <v>0</v>
      </c>
      <c r="D433" s="49"/>
      <c r="E433" s="49"/>
      <c r="F433" s="49">
        <v>0</v>
      </c>
      <c r="G433" s="51"/>
    </row>
    <row r="434" spans="1:7" ht="13.5" customHeight="1" thickBot="1">
      <c r="A434" s="557"/>
      <c r="B434" s="183"/>
      <c r="C434" s="89">
        <v>143366718.31</v>
      </c>
      <c r="D434" s="895">
        <v>128173143.25</v>
      </c>
      <c r="E434" s="895">
        <v>130136197.64</v>
      </c>
      <c r="F434" s="89">
        <v>401676059.19999999</v>
      </c>
      <c r="G434" s="51"/>
    </row>
    <row r="435" spans="1:7" ht="13.5" customHeight="1" thickTop="1">
      <c r="A435" s="903"/>
      <c r="B435" s="310"/>
      <c r="C435" s="311"/>
      <c r="D435" s="310"/>
      <c r="E435" s="311"/>
      <c r="F435" s="67"/>
      <c r="G435" s="53"/>
    </row>
    <row r="436" spans="1:7" ht="13.5" customHeight="1">
      <c r="A436" s="881"/>
      <c r="B436" s="183"/>
      <c r="C436" s="218"/>
      <c r="D436" s="183"/>
      <c r="E436" s="218"/>
      <c r="F436" s="35"/>
      <c r="G436" s="35"/>
    </row>
    <row r="437" spans="1:7" ht="13.5" customHeight="1">
      <c r="A437" s="881"/>
      <c r="B437" s="183"/>
      <c r="C437" s="218"/>
      <c r="D437" s="183"/>
      <c r="E437" s="218"/>
      <c r="F437" s="35"/>
      <c r="G437" s="35"/>
    </row>
    <row r="438" spans="1:7" ht="13.5" customHeight="1">
      <c r="A438" s="1483" t="s">
        <v>605</v>
      </c>
      <c r="B438" s="1484"/>
      <c r="C438" s="1485"/>
      <c r="D438" s="1486"/>
      <c r="E438" s="218"/>
      <c r="F438" s="35"/>
      <c r="G438" s="35"/>
    </row>
    <row r="439" spans="1:7" ht="13.5" customHeight="1">
      <c r="A439" s="1487"/>
      <c r="B439" s="1254"/>
      <c r="C439" s="1305"/>
      <c r="D439" s="1488"/>
      <c r="E439" s="218"/>
      <c r="F439" s="35"/>
      <c r="G439" s="35"/>
    </row>
    <row r="440" spans="1:7">
      <c r="A440" s="1489" t="s">
        <v>382</v>
      </c>
      <c r="B440" s="1254"/>
      <c r="C440" s="1294" t="s">
        <v>1117</v>
      </c>
      <c r="D440" s="1488"/>
      <c r="E440" s="218"/>
      <c r="F440" s="35"/>
      <c r="G440" s="35"/>
    </row>
    <row r="441" spans="1:7">
      <c r="A441" s="1318"/>
      <c r="B441" s="1254"/>
      <c r="C441" s="1305"/>
      <c r="D441" s="1488"/>
      <c r="E441" s="218"/>
      <c r="F441" s="35"/>
      <c r="G441" s="35"/>
    </row>
    <row r="442" spans="1:7">
      <c r="A442" s="1490" t="s">
        <v>839</v>
      </c>
      <c r="B442" s="1254"/>
      <c r="C442" s="1491" t="s">
        <v>672</v>
      </c>
      <c r="D442" s="1488"/>
      <c r="E442" s="218"/>
      <c r="F442" s="35"/>
      <c r="G442" s="35"/>
    </row>
    <row r="443" spans="1:7">
      <c r="A443" s="1326" t="s">
        <v>392</v>
      </c>
      <c r="B443" s="1254"/>
      <c r="C443" s="1492">
        <v>34997521.460000001</v>
      </c>
      <c r="D443" s="1488"/>
      <c r="E443" s="218"/>
      <c r="F443" s="35"/>
      <c r="G443" s="35"/>
    </row>
    <row r="444" spans="1:7">
      <c r="A444" s="1326" t="s">
        <v>606</v>
      </c>
      <c r="B444" s="1254"/>
      <c r="C444" s="1492">
        <v>0</v>
      </c>
      <c r="D444" s="1488"/>
      <c r="E444" s="218"/>
      <c r="F444" s="35"/>
      <c r="G444" s="35"/>
    </row>
    <row r="445" spans="1:7">
      <c r="A445" s="1326" t="s">
        <v>640</v>
      </c>
      <c r="B445" s="1254"/>
      <c r="C445" s="1492">
        <v>4559755.7952458374</v>
      </c>
      <c r="D445" s="1488"/>
      <c r="E445" s="218"/>
      <c r="F445" s="35"/>
      <c r="G445" s="35"/>
    </row>
    <row r="446" spans="1:7">
      <c r="A446" s="1326" t="s">
        <v>892</v>
      </c>
      <c r="B446" s="1254"/>
      <c r="C446" s="1492">
        <v>323731.42</v>
      </c>
      <c r="D446" s="1488"/>
      <c r="E446" s="218"/>
      <c r="F446" s="35"/>
      <c r="G446" s="35"/>
    </row>
    <row r="447" spans="1:7">
      <c r="A447" s="1326" t="s">
        <v>893</v>
      </c>
      <c r="B447" s="1254"/>
      <c r="C447" s="1492">
        <v>200000000</v>
      </c>
      <c r="D447" s="1488"/>
      <c r="E447" s="218"/>
      <c r="F447" s="101"/>
      <c r="G447" s="35"/>
    </row>
    <row r="448" spans="1:7">
      <c r="A448" s="1326" t="s">
        <v>894</v>
      </c>
      <c r="B448" s="1254"/>
      <c r="C448" s="1492">
        <v>0</v>
      </c>
      <c r="D448" s="1488"/>
      <c r="E448" s="218"/>
      <c r="F448" s="35"/>
      <c r="G448" s="35"/>
    </row>
    <row r="449" spans="1:7" ht="13.5" thickBot="1">
      <c r="A449" s="1318"/>
      <c r="B449" s="1493" t="s">
        <v>839</v>
      </c>
      <c r="C449" s="1494">
        <v>239881008.67524582</v>
      </c>
      <c r="D449" s="1488"/>
      <c r="E449" s="49"/>
      <c r="F449" s="35"/>
      <c r="G449" s="35"/>
    </row>
    <row r="450" spans="1:7" ht="13.5" thickTop="1">
      <c r="A450" s="1318"/>
      <c r="B450" s="1493"/>
      <c r="C450" s="1495"/>
      <c r="D450" s="1488"/>
      <c r="E450" s="218"/>
      <c r="F450" s="35"/>
      <c r="G450" s="35"/>
    </row>
    <row r="451" spans="1:7">
      <c r="A451" s="1490" t="s">
        <v>776</v>
      </c>
      <c r="B451" s="1254"/>
      <c r="C451" s="1491" t="s">
        <v>672</v>
      </c>
      <c r="D451" s="1488"/>
      <c r="E451" s="218"/>
      <c r="F451" s="35"/>
      <c r="G451" s="35"/>
    </row>
    <row r="452" spans="1:7">
      <c r="A452" s="1326" t="s">
        <v>895</v>
      </c>
      <c r="B452" s="1254"/>
      <c r="C452" s="1492">
        <v>117249.23999999999</v>
      </c>
      <c r="D452" s="1488"/>
      <c r="E452" s="218"/>
      <c r="F452" s="35"/>
      <c r="G452" s="35"/>
    </row>
    <row r="453" spans="1:7">
      <c r="A453" s="1326" t="s">
        <v>896</v>
      </c>
      <c r="B453" s="1254"/>
      <c r="C453" s="1492">
        <v>0</v>
      </c>
      <c r="D453" s="1488"/>
      <c r="E453" s="218"/>
      <c r="F453" s="101"/>
      <c r="G453" s="35"/>
    </row>
    <row r="454" spans="1:7">
      <c r="A454" s="1326" t="s">
        <v>941</v>
      </c>
      <c r="B454" s="1254"/>
      <c r="C454" s="1492">
        <v>26086490.185070932</v>
      </c>
      <c r="D454" s="1488"/>
      <c r="E454" s="218"/>
      <c r="F454" s="101"/>
      <c r="G454" s="35"/>
    </row>
    <row r="455" spans="1:7">
      <c r="A455" s="1326" t="s">
        <v>897</v>
      </c>
      <c r="B455" s="1254"/>
      <c r="C455" s="1492">
        <v>0</v>
      </c>
      <c r="D455" s="1488"/>
      <c r="E455" s="218"/>
      <c r="F455" s="101"/>
      <c r="G455" s="35"/>
    </row>
    <row r="456" spans="1:7">
      <c r="A456" s="1326" t="s">
        <v>734</v>
      </c>
      <c r="B456" s="1254"/>
      <c r="C456" s="1496">
        <v>4.6850888006001299E-6</v>
      </c>
      <c r="D456" s="1488"/>
      <c r="E456" s="218"/>
      <c r="F456" s="101"/>
      <c r="G456" s="35"/>
    </row>
    <row r="457" spans="1:7">
      <c r="A457" s="1326" t="s">
        <v>898</v>
      </c>
      <c r="B457" s="1254"/>
      <c r="C457" s="1496">
        <v>0</v>
      </c>
      <c r="D457" s="1488"/>
      <c r="E457" s="218"/>
      <c r="F457" s="101"/>
      <c r="G457" s="35"/>
    </row>
    <row r="458" spans="1:7">
      <c r="A458" s="1326" t="s">
        <v>899</v>
      </c>
      <c r="B458" s="1254"/>
      <c r="C458" s="1496">
        <v>0</v>
      </c>
      <c r="D458" s="1488"/>
      <c r="E458" s="218"/>
      <c r="F458" s="35"/>
      <c r="G458" s="35"/>
    </row>
    <row r="459" spans="1:7">
      <c r="A459" s="1326" t="s">
        <v>735</v>
      </c>
      <c r="B459" s="1254"/>
      <c r="C459" s="1496">
        <v>-7.7143385725356142E-6</v>
      </c>
      <c r="D459" s="1488"/>
      <c r="E459" s="218"/>
      <c r="F459" s="35"/>
      <c r="G459" s="35"/>
    </row>
    <row r="460" spans="1:7">
      <c r="A460" s="1326" t="s">
        <v>900</v>
      </c>
      <c r="B460" s="1254"/>
      <c r="C460" s="1496">
        <v>0</v>
      </c>
      <c r="D460" s="1488"/>
      <c r="E460" s="218"/>
      <c r="F460" s="35"/>
      <c r="G460" s="35"/>
    </row>
    <row r="461" spans="1:7">
      <c r="A461" s="1326" t="s">
        <v>736</v>
      </c>
      <c r="B461" s="1254"/>
      <c r="C461" s="1496">
        <v>-5.7400503847125469E-6</v>
      </c>
      <c r="D461" s="1488"/>
      <c r="E461" s="218"/>
      <c r="F461" s="35"/>
      <c r="G461" s="35"/>
    </row>
    <row r="462" spans="1:7">
      <c r="A462" s="1326" t="s">
        <v>901</v>
      </c>
      <c r="B462" s="1254"/>
      <c r="C462" s="1497">
        <v>0</v>
      </c>
      <c r="D462" s="1488"/>
      <c r="E462" s="218"/>
      <c r="F462" s="35"/>
      <c r="G462" s="35"/>
    </row>
    <row r="463" spans="1:7">
      <c r="A463" s="1326" t="s">
        <v>437</v>
      </c>
      <c r="B463" s="1254"/>
      <c r="C463" s="1492">
        <v>200000000</v>
      </c>
      <c r="D463" s="1488"/>
      <c r="E463" s="218"/>
      <c r="F463" s="35"/>
      <c r="G463" s="35"/>
    </row>
    <row r="464" spans="1:7">
      <c r="A464" s="1326" t="s">
        <v>384</v>
      </c>
      <c r="B464" s="1254"/>
      <c r="C464" s="1492">
        <v>13677269.250183608</v>
      </c>
      <c r="D464" s="1488"/>
      <c r="E464" s="218"/>
      <c r="F464" s="35"/>
      <c r="G464" s="35"/>
    </row>
    <row r="465" spans="1:7" ht="13.5" thickBot="1">
      <c r="A465" s="1326"/>
      <c r="B465" s="1254"/>
      <c r="C465" s="1498">
        <v>239881008.67524576</v>
      </c>
      <c r="D465" s="1488"/>
      <c r="E465" s="218"/>
      <c r="F465" s="35"/>
      <c r="G465" s="216"/>
    </row>
    <row r="466" spans="1:7" ht="13.5" thickTop="1">
      <c r="A466" s="1490"/>
      <c r="B466" s="1254"/>
      <c r="C466" s="1305"/>
      <c r="D466" s="1488"/>
      <c r="E466" s="218"/>
      <c r="F466" s="35"/>
      <c r="G466" s="216"/>
    </row>
    <row r="467" spans="1:7">
      <c r="A467" s="1490"/>
      <c r="B467" s="1254"/>
      <c r="C467" s="1305"/>
      <c r="D467" s="1488"/>
      <c r="E467" s="218"/>
      <c r="F467" s="35"/>
      <c r="G467" s="216"/>
    </row>
    <row r="468" spans="1:7">
      <c r="A468" s="1499" t="s">
        <v>777</v>
      </c>
      <c r="B468" s="1254"/>
      <c r="C468" s="1491" t="s">
        <v>672</v>
      </c>
      <c r="D468" s="1488"/>
      <c r="E468" s="218"/>
      <c r="F468" s="35"/>
      <c r="G468" s="216"/>
    </row>
    <row r="469" spans="1:7">
      <c r="A469" s="1500" t="s">
        <v>908</v>
      </c>
      <c r="B469" s="1254"/>
      <c r="C469" s="1492">
        <v>172363918.57999998</v>
      </c>
      <c r="D469" s="1488"/>
      <c r="E469" s="218"/>
      <c r="F469" s="35"/>
      <c r="G469" s="216"/>
    </row>
    <row r="470" spans="1:7">
      <c r="A470" s="1325" t="s">
        <v>552</v>
      </c>
      <c r="B470" s="1254"/>
      <c r="C470" s="1492">
        <v>0</v>
      </c>
      <c r="D470" s="1488"/>
      <c r="E470" s="218"/>
      <c r="F470" s="35"/>
      <c r="G470" s="216"/>
    </row>
    <row r="471" spans="1:7">
      <c r="A471" s="1326" t="s">
        <v>547</v>
      </c>
      <c r="B471" s="1254"/>
      <c r="C471" s="1492">
        <v>170180.73024060501</v>
      </c>
      <c r="D471" s="1488"/>
      <c r="E471" s="218"/>
      <c r="F471" s="35"/>
      <c r="G471" s="216"/>
    </row>
    <row r="472" spans="1:7">
      <c r="A472" s="1326" t="s">
        <v>548</v>
      </c>
      <c r="B472" s="1254"/>
      <c r="C472" s="1492">
        <v>0</v>
      </c>
      <c r="D472" s="1488"/>
      <c r="E472" s="218"/>
      <c r="F472" s="35"/>
      <c r="G472" s="216"/>
    </row>
    <row r="473" spans="1:7">
      <c r="A473" s="1326" t="s">
        <v>549</v>
      </c>
      <c r="B473" s="1254"/>
      <c r="C473" s="1492">
        <v>0</v>
      </c>
      <c r="D473" s="1488"/>
      <c r="E473" s="218"/>
      <c r="F473" s="35"/>
      <c r="G473" s="216"/>
    </row>
    <row r="474" spans="1:7">
      <c r="A474" s="1326" t="s">
        <v>550</v>
      </c>
      <c r="B474" s="1254"/>
      <c r="C474" s="1492">
        <v>0</v>
      </c>
      <c r="D474" s="1488"/>
      <c r="E474" s="218"/>
      <c r="F474" s="35"/>
      <c r="G474" s="216"/>
    </row>
    <row r="475" spans="1:7">
      <c r="A475" s="1326" t="s">
        <v>551</v>
      </c>
      <c r="B475" s="1254"/>
      <c r="C475" s="1492">
        <v>0</v>
      </c>
      <c r="D475" s="1488"/>
      <c r="E475" s="218"/>
      <c r="F475" s="35"/>
      <c r="G475" s="216"/>
    </row>
    <row r="476" spans="1:7" ht="13.5" thickBot="1">
      <c r="A476" s="1326"/>
      <c r="B476" s="1493" t="s">
        <v>777</v>
      </c>
      <c r="C476" s="1498">
        <v>172534099.3102406</v>
      </c>
      <c r="D476" s="1488"/>
      <c r="E476" s="218"/>
      <c r="F476" s="35"/>
      <c r="G476" s="216"/>
    </row>
    <row r="477" spans="1:7" ht="13.5" thickTop="1">
      <c r="A477" s="1326"/>
      <c r="B477" s="1254"/>
      <c r="C477" s="1492"/>
      <c r="D477" s="1488"/>
      <c r="E477" s="218"/>
      <c r="F477" s="35"/>
      <c r="G477" s="216"/>
    </row>
    <row r="478" spans="1:7">
      <c r="A478" s="1490" t="s">
        <v>1035</v>
      </c>
      <c r="B478" s="1254"/>
      <c r="C478" s="1491" t="s">
        <v>672</v>
      </c>
      <c r="D478" s="1488"/>
      <c r="E478" s="218"/>
      <c r="F478" s="35"/>
      <c r="G478" s="216"/>
    </row>
    <row r="479" spans="1:7">
      <c r="A479" s="1326" t="s">
        <v>553</v>
      </c>
      <c r="B479" s="1254"/>
      <c r="C479" s="1492">
        <v>0</v>
      </c>
      <c r="D479" s="1488"/>
      <c r="E479" s="218"/>
      <c r="F479" s="35"/>
      <c r="G479" s="216"/>
    </row>
    <row r="480" spans="1:7">
      <c r="A480" s="1326" t="s">
        <v>1036</v>
      </c>
      <c r="B480" s="1254"/>
      <c r="C480" s="1492">
        <v>0</v>
      </c>
      <c r="D480" s="1488"/>
      <c r="E480" s="218"/>
      <c r="F480" s="35"/>
      <c r="G480" s="216"/>
    </row>
    <row r="481" spans="1:7">
      <c r="A481" s="1326" t="s">
        <v>1037</v>
      </c>
      <c r="B481" s="1254"/>
      <c r="C481" s="1492">
        <v>0</v>
      </c>
      <c r="D481" s="1488"/>
      <c r="E481" s="218"/>
      <c r="F481" s="35"/>
      <c r="G481" s="216"/>
    </row>
    <row r="482" spans="1:7">
      <c r="A482" s="1326" t="s">
        <v>289</v>
      </c>
      <c r="B482" s="1254"/>
      <c r="C482" s="1492">
        <v>172534098.31</v>
      </c>
      <c r="D482" s="1488"/>
      <c r="E482" s="218"/>
      <c r="F482" s="35"/>
      <c r="G482" s="216"/>
    </row>
    <row r="483" spans="1:7">
      <c r="A483" s="1326" t="s">
        <v>290</v>
      </c>
      <c r="B483" s="1254"/>
      <c r="C483" s="1492">
        <v>0</v>
      </c>
      <c r="D483" s="1488"/>
      <c r="E483" s="218"/>
      <c r="F483" s="35"/>
      <c r="G483" s="216"/>
    </row>
    <row r="484" spans="1:7">
      <c r="A484" s="1326" t="s">
        <v>291</v>
      </c>
      <c r="B484" s="1254"/>
      <c r="C484" s="1492">
        <v>0</v>
      </c>
      <c r="D484" s="1488"/>
      <c r="E484" s="218"/>
      <c r="F484" s="35"/>
      <c r="G484" s="216"/>
    </row>
    <row r="485" spans="1:7">
      <c r="A485" s="1326" t="s">
        <v>292</v>
      </c>
      <c r="B485" s="1254"/>
      <c r="C485" s="1492">
        <v>0</v>
      </c>
      <c r="D485" s="1488"/>
      <c r="E485" s="218"/>
      <c r="F485" s="35"/>
      <c r="G485" s="216"/>
    </row>
    <row r="486" spans="1:7">
      <c r="A486" s="1326" t="s">
        <v>1064</v>
      </c>
      <c r="B486" s="1254"/>
      <c r="C486" s="1492">
        <v>0</v>
      </c>
      <c r="D486" s="1488"/>
      <c r="E486" s="218"/>
      <c r="F486" s="35"/>
      <c r="G486" s="216"/>
    </row>
    <row r="487" spans="1:7" ht="13.5" thickBot="1">
      <c r="A487" s="1326"/>
      <c r="B487" s="1254"/>
      <c r="C487" s="1498">
        <v>172534098.31</v>
      </c>
      <c r="D487" s="1488"/>
      <c r="E487" s="218"/>
      <c r="F487" s="35"/>
      <c r="G487" s="216"/>
    </row>
    <row r="488" spans="1:7" ht="13.5" thickTop="1">
      <c r="A488" s="1501"/>
      <c r="B488" s="1502"/>
      <c r="C488" s="1503"/>
      <c r="D488" s="1504"/>
      <c r="E488" s="218"/>
      <c r="F488" s="35"/>
      <c r="G488" s="35"/>
    </row>
    <row r="489" spans="1:7">
      <c r="A489" s="1165"/>
      <c r="B489" s="976"/>
      <c r="C489" s="975"/>
      <c r="D489" s="976"/>
      <c r="E489" s="218"/>
      <c r="F489" s="35"/>
      <c r="G489" s="35"/>
    </row>
    <row r="490" spans="1:7">
      <c r="A490" s="1165"/>
      <c r="B490" s="976"/>
      <c r="C490" s="975"/>
      <c r="D490" s="976"/>
      <c r="E490" s="218"/>
      <c r="F490" s="35"/>
      <c r="G490" s="35"/>
    </row>
    <row r="491" spans="1:7">
      <c r="A491" s="1165"/>
      <c r="B491" s="976"/>
      <c r="C491" s="975"/>
      <c r="D491" s="976"/>
      <c r="E491" s="218"/>
      <c r="F491" s="35"/>
      <c r="G491" s="35"/>
    </row>
    <row r="492" spans="1:7">
      <c r="A492" s="1165"/>
      <c r="B492" s="976"/>
      <c r="C492" s="975"/>
      <c r="D492" s="976"/>
      <c r="E492" s="218"/>
      <c r="F492" s="35"/>
      <c r="G492" s="35"/>
    </row>
    <row r="493" spans="1:7" ht="15.75">
      <c r="A493" s="1483" t="s">
        <v>391</v>
      </c>
      <c r="B493" s="1484"/>
      <c r="C493" s="1505"/>
      <c r="D493" s="1486"/>
      <c r="E493" s="218"/>
      <c r="F493" s="35"/>
      <c r="G493" s="35"/>
    </row>
    <row r="494" spans="1:7">
      <c r="A494" s="1487"/>
      <c r="B494" s="1254"/>
      <c r="C494" s="1305"/>
      <c r="D494" s="1488"/>
      <c r="E494" s="218"/>
      <c r="F494" s="35"/>
      <c r="G494" s="35"/>
    </row>
    <row r="495" spans="1:7">
      <c r="A495" s="1489" t="s">
        <v>383</v>
      </c>
      <c r="B495" s="1254"/>
      <c r="C495" s="1294" t="s">
        <v>1117</v>
      </c>
      <c r="D495" s="1488"/>
      <c r="E495" s="218"/>
      <c r="F495" s="35"/>
      <c r="G495" s="35"/>
    </row>
    <row r="496" spans="1:7">
      <c r="A496" s="1318"/>
      <c r="B496" s="1254"/>
      <c r="C496" s="1305"/>
      <c r="D496" s="1488"/>
      <c r="E496" s="218"/>
      <c r="F496" s="35"/>
      <c r="G496" s="35"/>
    </row>
    <row r="497" spans="1:10">
      <c r="A497" s="1506" t="s">
        <v>972</v>
      </c>
      <c r="B497" s="1254"/>
      <c r="C497" s="1491" t="s">
        <v>672</v>
      </c>
      <c r="D497" s="1488"/>
      <c r="E497" s="218"/>
      <c r="F497" s="35"/>
      <c r="G497" s="35"/>
    </row>
    <row r="498" spans="1:10">
      <c r="A498" s="1318" t="s">
        <v>902</v>
      </c>
      <c r="B498" s="1254"/>
      <c r="C498" s="1492">
        <v>29256478.958856653</v>
      </c>
      <c r="D498" s="1488"/>
      <c r="E498" s="218"/>
      <c r="F498" s="101"/>
      <c r="G498" s="35"/>
    </row>
    <row r="499" spans="1:10">
      <c r="A499" s="1318" t="s">
        <v>903</v>
      </c>
      <c r="B499" s="1254"/>
      <c r="C499" s="1492">
        <v>0</v>
      </c>
      <c r="D499" s="1488"/>
      <c r="E499" s="218"/>
      <c r="F499" s="101"/>
      <c r="G499" s="35"/>
      <c r="H499" s="571"/>
      <c r="I499" s="571"/>
      <c r="J499" s="571"/>
    </row>
    <row r="500" spans="1:10" ht="13.5" thickBot="1">
      <c r="A500" s="1318"/>
      <c r="B500" s="1493" t="s">
        <v>972</v>
      </c>
      <c r="C500" s="1498">
        <v>29256478.958856653</v>
      </c>
      <c r="D500" s="1488"/>
      <c r="E500" s="218"/>
      <c r="F500" s="101"/>
      <c r="G500" s="35"/>
      <c r="H500" s="571"/>
      <c r="I500" s="571"/>
      <c r="J500" s="571"/>
    </row>
    <row r="501" spans="1:10" ht="13.5" thickTop="1">
      <c r="A501" s="1507"/>
      <c r="B501" s="1254"/>
      <c r="C501" s="1305"/>
      <c r="D501" s="1488"/>
      <c r="E501" s="218"/>
      <c r="F501" s="101"/>
      <c r="G501" s="35"/>
      <c r="H501" s="188"/>
      <c r="I501" s="86"/>
      <c r="J501" s="87"/>
    </row>
    <row r="502" spans="1:10">
      <c r="A502" s="1506" t="s">
        <v>397</v>
      </c>
      <c r="B502" s="1254"/>
      <c r="C502" s="1491" t="s">
        <v>672</v>
      </c>
      <c r="D502" s="1488"/>
      <c r="E502" s="218"/>
      <c r="F502" s="35"/>
      <c r="G502" s="35"/>
      <c r="H502" s="87"/>
      <c r="I502" s="86"/>
      <c r="J502" s="87"/>
    </row>
    <row r="503" spans="1:10">
      <c r="A503" s="1318" t="s">
        <v>895</v>
      </c>
      <c r="B503" s="1254"/>
      <c r="C503" s="1492">
        <v>39435.045097251867</v>
      </c>
      <c r="D503" s="1488"/>
      <c r="E503" s="218"/>
      <c r="F503" s="101"/>
      <c r="G503" s="609">
        <v>4</v>
      </c>
      <c r="H503" s="573"/>
      <c r="I503" s="574"/>
      <c r="J503" s="575"/>
    </row>
    <row r="504" spans="1:10">
      <c r="A504" s="1318" t="s">
        <v>904</v>
      </c>
      <c r="B504" s="1254"/>
      <c r="C504" s="1492">
        <v>26047836.575070933</v>
      </c>
      <c r="D504" s="1488"/>
      <c r="E504" s="218"/>
      <c r="F504" s="101"/>
      <c r="G504" s="35"/>
      <c r="H504" s="573"/>
      <c r="I504" s="574"/>
      <c r="J504" s="575"/>
    </row>
    <row r="505" spans="1:10">
      <c r="A505" s="1318" t="s">
        <v>905</v>
      </c>
      <c r="B505" s="1254"/>
      <c r="C505" s="1492">
        <v>4.6850888006001299E-6</v>
      </c>
      <c r="D505" s="1488"/>
      <c r="E505" s="218"/>
      <c r="F505" s="101"/>
      <c r="G505" s="35"/>
      <c r="H505" s="573"/>
      <c r="I505" s="574"/>
      <c r="J505" s="575"/>
    </row>
    <row r="506" spans="1:10">
      <c r="A506" s="1318" t="s">
        <v>404</v>
      </c>
      <c r="B506" s="1254"/>
      <c r="C506" s="1492">
        <v>-7.7143385725356142E-6</v>
      </c>
      <c r="D506" s="1488"/>
      <c r="E506" s="218"/>
      <c r="F506" s="101"/>
      <c r="G506" s="35"/>
      <c r="H506" s="576"/>
      <c r="J506" s="576"/>
    </row>
    <row r="507" spans="1:10">
      <c r="A507" s="1318" t="s">
        <v>405</v>
      </c>
      <c r="B507" s="1254"/>
      <c r="C507" s="1492">
        <v>-5.7400503847125469E-6</v>
      </c>
      <c r="D507" s="1488"/>
      <c r="E507" s="218"/>
      <c r="F507" s="35"/>
      <c r="G507" s="35"/>
      <c r="H507" s="576"/>
      <c r="J507" s="576"/>
    </row>
    <row r="508" spans="1:10">
      <c r="A508" s="1318" t="s">
        <v>1063</v>
      </c>
      <c r="B508" s="1254"/>
      <c r="C508" s="1492">
        <v>3167383.9901369861</v>
      </c>
      <c r="D508" s="1488"/>
      <c r="E508" s="218"/>
      <c r="F508" s="35"/>
      <c r="G508" s="35"/>
      <c r="H508" s="576"/>
      <c r="J508" s="576"/>
    </row>
    <row r="509" spans="1:10">
      <c r="A509" s="1318" t="s">
        <v>384</v>
      </c>
      <c r="B509" s="1254"/>
      <c r="C509" s="1492">
        <v>1823.3485602543515</v>
      </c>
      <c r="D509" s="1488"/>
      <c r="E509" s="218"/>
      <c r="F509" s="35"/>
      <c r="G509" s="35"/>
      <c r="H509" s="577"/>
      <c r="I509" s="577"/>
      <c r="J509" s="577"/>
    </row>
    <row r="510" spans="1:10" ht="13.5" thickBot="1">
      <c r="A510" s="1318"/>
      <c r="B510" s="1254"/>
      <c r="C510" s="1498">
        <v>29256478.958856653</v>
      </c>
      <c r="D510" s="1488"/>
      <c r="E510" s="218"/>
      <c r="F510" s="35"/>
      <c r="G510" s="35"/>
      <c r="H510" s="577"/>
      <c r="I510" s="577"/>
      <c r="J510" s="577"/>
    </row>
    <row r="511" spans="1:10" ht="13.5" thickTop="1">
      <c r="A511" s="1318"/>
      <c r="B511" s="1254"/>
      <c r="C511" s="1492"/>
      <c r="D511" s="1488"/>
      <c r="E511" s="218"/>
      <c r="F511" s="35"/>
      <c r="G511" s="35"/>
      <c r="H511" s="577"/>
      <c r="I511" s="577"/>
      <c r="J511" s="577"/>
    </row>
    <row r="512" spans="1:10">
      <c r="A512" s="1318"/>
      <c r="B512" s="1254"/>
      <c r="C512" s="1492"/>
      <c r="D512" s="1488"/>
      <c r="E512" s="218"/>
      <c r="F512" s="35"/>
      <c r="G512" s="35"/>
      <c r="H512" s="577"/>
      <c r="I512" s="577"/>
      <c r="J512" s="577"/>
    </row>
    <row r="513" spans="1:36">
      <c r="A513" s="1506" t="s">
        <v>973</v>
      </c>
      <c r="B513" s="1254"/>
      <c r="C513" s="1491" t="s">
        <v>672</v>
      </c>
      <c r="D513" s="1488"/>
      <c r="E513" s="218"/>
      <c r="F513" s="35"/>
      <c r="G513" s="35"/>
      <c r="H513" s="577"/>
      <c r="I513" s="577"/>
      <c r="J513" s="577"/>
    </row>
    <row r="514" spans="1:36">
      <c r="A514" s="1318" t="s">
        <v>1038</v>
      </c>
      <c r="B514" s="1254"/>
      <c r="C514" s="1492">
        <v>172534098.31</v>
      </c>
      <c r="D514" s="1488"/>
      <c r="E514" s="218"/>
      <c r="F514" s="35"/>
      <c r="G514" s="35"/>
      <c r="H514" s="577"/>
      <c r="I514" s="577"/>
      <c r="J514" s="577"/>
    </row>
    <row r="515" spans="1:36">
      <c r="A515" s="1508" t="s">
        <v>1039</v>
      </c>
      <c r="B515" s="1254"/>
      <c r="C515" s="1492">
        <v>0</v>
      </c>
      <c r="D515" s="1488"/>
      <c r="E515" s="218"/>
      <c r="F515" s="35"/>
      <c r="G515" s="35"/>
      <c r="H515" s="577"/>
      <c r="I515" s="577"/>
      <c r="J515" s="577"/>
    </row>
    <row r="516" spans="1:36" ht="13.5" thickBot="1">
      <c r="A516" s="1506"/>
      <c r="B516" s="1493" t="s">
        <v>973</v>
      </c>
      <c r="C516" s="1498">
        <v>172534098.31</v>
      </c>
      <c r="D516" s="1488"/>
      <c r="E516" s="218"/>
      <c r="F516" s="35"/>
      <c r="G516" s="35"/>
      <c r="H516" s="577"/>
      <c r="I516" s="577"/>
      <c r="J516" s="577"/>
    </row>
    <row r="517" spans="1:36" ht="13.5" thickTop="1">
      <c r="A517" s="1506"/>
      <c r="B517" s="1254"/>
      <c r="C517" s="1492"/>
      <c r="D517" s="1488"/>
      <c r="E517" s="218"/>
      <c r="F517" s="35"/>
      <c r="G517" s="35"/>
      <c r="H517" s="577"/>
      <c r="I517" s="577"/>
      <c r="J517" s="577"/>
    </row>
    <row r="518" spans="1:36">
      <c r="A518" s="1506" t="s">
        <v>1040</v>
      </c>
      <c r="B518" s="1254"/>
      <c r="C518" s="1491" t="s">
        <v>672</v>
      </c>
      <c r="D518" s="1488"/>
      <c r="E518" s="218"/>
      <c r="F518" s="35"/>
      <c r="G518" s="35"/>
      <c r="H518" s="577"/>
      <c r="I518" s="577"/>
      <c r="J518" s="577"/>
    </row>
    <row r="519" spans="1:36">
      <c r="A519" s="1318" t="s">
        <v>904</v>
      </c>
      <c r="B519" s="1254"/>
      <c r="C519" s="1294">
        <v>172534098.31</v>
      </c>
      <c r="D519" s="1488"/>
      <c r="E519" s="218"/>
      <c r="F519" s="35"/>
      <c r="G519" s="35"/>
      <c r="H519" s="577"/>
      <c r="I519" s="577"/>
      <c r="J519" s="577"/>
    </row>
    <row r="520" spans="1:36">
      <c r="A520" s="1318" t="s">
        <v>905</v>
      </c>
      <c r="B520" s="1254"/>
      <c r="C520" s="1294">
        <v>0</v>
      </c>
      <c r="D520" s="1488"/>
      <c r="E520" s="218"/>
      <c r="F520" s="35"/>
      <c r="G520" s="35"/>
      <c r="H520" s="577"/>
      <c r="I520" s="577"/>
      <c r="J520" s="577"/>
    </row>
    <row r="521" spans="1:36">
      <c r="A521" s="1318" t="s">
        <v>404</v>
      </c>
      <c r="B521" s="1254"/>
      <c r="C521" s="1294">
        <v>0</v>
      </c>
      <c r="D521" s="1488"/>
      <c r="E521" s="218"/>
      <c r="F521" s="35"/>
      <c r="G521" s="35"/>
      <c r="H521" s="577"/>
      <c r="I521" s="577"/>
      <c r="J521" s="577"/>
    </row>
    <row r="522" spans="1:36">
      <c r="A522" s="1318" t="s">
        <v>405</v>
      </c>
      <c r="B522" s="1254"/>
      <c r="C522" s="1294">
        <v>0</v>
      </c>
      <c r="D522" s="1488"/>
      <c r="E522" s="218"/>
      <c r="F522" s="35"/>
      <c r="G522" s="35"/>
      <c r="H522" s="577"/>
      <c r="I522" s="577"/>
      <c r="J522" s="577"/>
    </row>
    <row r="523" spans="1:36" ht="13.5" thickBot="1">
      <c r="A523" s="1508"/>
      <c r="B523" s="1254"/>
      <c r="C523" s="1313">
        <v>172534098.31</v>
      </c>
      <c r="D523" s="1488"/>
      <c r="E523" s="218"/>
      <c r="F523" s="35"/>
      <c r="G523" s="35"/>
      <c r="H523" s="577"/>
      <c r="I523" s="577"/>
      <c r="J523" s="577"/>
    </row>
    <row r="524" spans="1:36" ht="13.5" thickTop="1">
      <c r="A524" s="1509"/>
      <c r="B524" s="1502"/>
      <c r="C524" s="1510"/>
      <c r="D524" s="1504"/>
      <c r="E524" s="218"/>
      <c r="F524" s="35"/>
      <c r="G524" s="35"/>
      <c r="H524" s="577"/>
      <c r="I524" s="577"/>
      <c r="J524" s="577"/>
    </row>
    <row r="525" spans="1:36" ht="43.5" customHeight="1">
      <c r="A525" s="1473" t="s">
        <v>1056</v>
      </c>
      <c r="B525" s="1473"/>
      <c r="C525" s="1473"/>
      <c r="D525" s="1473"/>
      <c r="E525" s="904"/>
      <c r="F525" s="904"/>
      <c r="G525" s="35"/>
      <c r="H525" s="577"/>
      <c r="I525" s="577"/>
      <c r="J525" s="577"/>
    </row>
    <row r="526" spans="1:36">
      <c r="A526" s="1038"/>
      <c r="B526" s="966"/>
      <c r="C526" s="967"/>
      <c r="D526" s="968">
        <v>1</v>
      </c>
      <c r="E526" s="244">
        <v>2</v>
      </c>
      <c r="F526" s="244">
        <v>3</v>
      </c>
      <c r="G526" s="578"/>
      <c r="H526" s="578"/>
      <c r="I526" s="578"/>
      <c r="J526" s="578"/>
      <c r="K526" s="35"/>
    </row>
    <row r="527" spans="1:36" s="971" customFormat="1" ht="15.75">
      <c r="A527" s="965"/>
      <c r="B527" s="966"/>
      <c r="C527" s="967"/>
      <c r="D527" s="968"/>
      <c r="E527" s="968"/>
      <c r="F527" s="968"/>
      <c r="G527" s="969"/>
      <c r="H527" s="969"/>
      <c r="I527" s="969"/>
      <c r="J527" s="969"/>
      <c r="K527" s="970"/>
      <c r="M527" s="970"/>
      <c r="N527" s="970"/>
      <c r="O527" s="970"/>
      <c r="P527" s="970"/>
      <c r="Q527" s="970"/>
      <c r="R527" s="970"/>
      <c r="S527" s="970"/>
      <c r="T527" s="970"/>
      <c r="U527" s="970"/>
      <c r="V527" s="970"/>
      <c r="W527" s="970"/>
      <c r="X527" s="970"/>
      <c r="Y527" s="970"/>
      <c r="Z527" s="970"/>
      <c r="AA527" s="970"/>
      <c r="AB527" s="970"/>
      <c r="AC527" s="970"/>
      <c r="AD527" s="970"/>
      <c r="AE527" s="970"/>
      <c r="AF527" s="970"/>
      <c r="AG527" s="970"/>
      <c r="AH527" s="970"/>
      <c r="AI527" s="970"/>
      <c r="AJ527" s="970"/>
    </row>
    <row r="528" spans="1:36" s="971" customFormat="1" ht="25.5">
      <c r="A528" s="1204" t="s">
        <v>200</v>
      </c>
      <c r="B528" s="1511" t="s">
        <v>201</v>
      </c>
      <c r="C528" s="1511" t="s">
        <v>202</v>
      </c>
      <c r="D528" s="1512" t="s">
        <v>203</v>
      </c>
      <c r="E528" s="967"/>
      <c r="F528" s="968"/>
      <c r="G528" s="969"/>
      <c r="H528" s="969"/>
      <c r="I528" s="969"/>
      <c r="J528" s="969"/>
      <c r="K528" s="970"/>
      <c r="M528" s="970"/>
      <c r="N528" s="970"/>
      <c r="O528" s="970"/>
      <c r="P528" s="970"/>
      <c r="Q528" s="970"/>
      <c r="R528" s="970"/>
      <c r="S528" s="970"/>
      <c r="T528" s="970"/>
      <c r="U528" s="970"/>
      <c r="V528" s="970"/>
      <c r="W528" s="970"/>
      <c r="X528" s="970"/>
      <c r="Y528" s="970"/>
      <c r="Z528" s="970"/>
      <c r="AA528" s="970"/>
      <c r="AB528" s="970"/>
      <c r="AC528" s="970"/>
      <c r="AD528" s="970"/>
      <c r="AE528" s="970"/>
      <c r="AF528" s="970"/>
      <c r="AG528" s="970"/>
      <c r="AH528" s="970"/>
      <c r="AI528" s="970"/>
      <c r="AJ528" s="970"/>
    </row>
    <row r="529" spans="1:36" s="971" customFormat="1">
      <c r="A529" s="1513" t="s">
        <v>204</v>
      </c>
      <c r="B529" s="1514">
        <v>1.3570728100438969E-3</v>
      </c>
      <c r="C529" s="1514">
        <v>0</v>
      </c>
      <c r="D529" s="1515">
        <v>1.3570728100438969E-3</v>
      </c>
      <c r="E529" s="967"/>
      <c r="F529" s="968"/>
      <c r="G529" s="969"/>
      <c r="H529" s="969"/>
      <c r="I529" s="969"/>
      <c r="J529" s="969"/>
      <c r="K529" s="970"/>
      <c r="M529" s="970"/>
      <c r="N529" s="970"/>
      <c r="O529" s="970"/>
      <c r="P529" s="970"/>
      <c r="Q529" s="970"/>
      <c r="R529" s="970"/>
      <c r="S529" s="970"/>
      <c r="T529" s="970"/>
      <c r="U529" s="970"/>
      <c r="V529" s="970"/>
      <c r="W529" s="970"/>
      <c r="X529" s="970"/>
      <c r="Y529" s="970"/>
      <c r="Z529" s="970"/>
      <c r="AA529" s="970"/>
      <c r="AB529" s="970"/>
      <c r="AC529" s="970"/>
      <c r="AD529" s="970"/>
      <c r="AE529" s="970"/>
      <c r="AF529" s="970"/>
      <c r="AG529" s="970"/>
      <c r="AH529" s="970"/>
      <c r="AI529" s="970"/>
      <c r="AJ529" s="970"/>
    </row>
    <row r="530" spans="1:36" s="971" customFormat="1">
      <c r="A530" s="1516" t="s">
        <v>205</v>
      </c>
      <c r="B530" s="1514">
        <v>-2.7146637439727783E-3</v>
      </c>
      <c r="C530" s="1514">
        <v>0</v>
      </c>
      <c r="D530" s="1515">
        <v>-2.7146637439727783E-3</v>
      </c>
      <c r="E530" s="967"/>
      <c r="F530" s="968"/>
      <c r="G530" s="969"/>
      <c r="H530" s="969"/>
      <c r="I530" s="969"/>
      <c r="J530" s="969"/>
      <c r="K530" s="970"/>
      <c r="M530" s="970"/>
      <c r="N530" s="970"/>
      <c r="O530" s="970"/>
      <c r="P530" s="970"/>
      <c r="Q530" s="970"/>
      <c r="R530" s="970"/>
      <c r="S530" s="970"/>
      <c r="T530" s="970"/>
      <c r="U530" s="970"/>
      <c r="V530" s="970"/>
      <c r="W530" s="970"/>
      <c r="X530" s="970"/>
      <c r="Y530" s="970"/>
      <c r="Z530" s="970"/>
      <c r="AA530" s="970"/>
      <c r="AB530" s="970"/>
      <c r="AC530" s="970"/>
      <c r="AD530" s="970"/>
      <c r="AE530" s="970"/>
      <c r="AF530" s="970"/>
      <c r="AG530" s="970"/>
      <c r="AH530" s="970"/>
      <c r="AI530" s="970"/>
      <c r="AJ530" s="970"/>
    </row>
    <row r="531" spans="1:36" s="971" customFormat="1">
      <c r="A531" s="1516" t="s">
        <v>206</v>
      </c>
      <c r="B531" s="1514">
        <v>4.2696036398410797E-3</v>
      </c>
      <c r="C531" s="1514">
        <v>0</v>
      </c>
      <c r="D531" s="1515">
        <v>4.2696036398410797E-3</v>
      </c>
      <c r="E531" s="967"/>
      <c r="F531" s="968"/>
      <c r="G531" s="969"/>
      <c r="H531" s="969"/>
      <c r="I531" s="969"/>
      <c r="J531" s="969"/>
      <c r="K531" s="970"/>
      <c r="M531" s="970"/>
      <c r="N531" s="970"/>
      <c r="O531" s="970"/>
      <c r="P531" s="970"/>
      <c r="Q531" s="970"/>
      <c r="R531" s="970"/>
      <c r="S531" s="970"/>
      <c r="T531" s="970"/>
      <c r="U531" s="970"/>
      <c r="V531" s="970"/>
      <c r="W531" s="970"/>
      <c r="X531" s="970"/>
      <c r="Y531" s="970"/>
      <c r="Z531" s="970"/>
      <c r="AA531" s="970"/>
      <c r="AB531" s="970"/>
      <c r="AC531" s="970"/>
      <c r="AD531" s="970"/>
      <c r="AE531" s="970"/>
      <c r="AF531" s="970"/>
      <c r="AG531" s="970"/>
      <c r="AH531" s="970"/>
      <c r="AI531" s="970"/>
      <c r="AJ531" s="970"/>
    </row>
    <row r="532" spans="1:36" s="971" customFormat="1">
      <c r="A532" s="1516" t="s">
        <v>207</v>
      </c>
      <c r="B532" s="1514">
        <v>2.3726150393486023E-3</v>
      </c>
      <c r="C532" s="1514">
        <v>0</v>
      </c>
      <c r="D532" s="1515">
        <v>2.3726150393486023E-3</v>
      </c>
      <c r="E532" s="967"/>
      <c r="F532" s="968"/>
      <c r="G532" s="969"/>
      <c r="H532" s="969"/>
      <c r="I532" s="969"/>
      <c r="J532" s="969"/>
      <c r="K532" s="970"/>
      <c r="M532" s="970"/>
      <c r="N532" s="970"/>
      <c r="O532" s="970"/>
      <c r="P532" s="970"/>
      <c r="Q532" s="970"/>
      <c r="R532" s="970"/>
      <c r="S532" s="970"/>
      <c r="T532" s="970"/>
      <c r="U532" s="970"/>
      <c r="V532" s="970"/>
      <c r="W532" s="970"/>
      <c r="X532" s="970"/>
      <c r="Y532" s="970"/>
      <c r="Z532" s="970"/>
      <c r="AA532" s="970"/>
      <c r="AB532" s="970"/>
      <c r="AC532" s="970"/>
      <c r="AD532" s="970"/>
      <c r="AE532" s="970"/>
      <c r="AF532" s="970"/>
      <c r="AG532" s="970"/>
      <c r="AH532" s="970"/>
      <c r="AI532" s="970"/>
      <c r="AJ532" s="970"/>
    </row>
    <row r="533" spans="1:36" s="971" customFormat="1">
      <c r="A533" s="1517" t="s">
        <v>1065</v>
      </c>
      <c r="B533" s="1518">
        <v>170180.73024060501</v>
      </c>
      <c r="C533" s="1518">
        <v>170180.73024060501</v>
      </c>
      <c r="D533" s="1518">
        <v>0</v>
      </c>
      <c r="E533" s="967"/>
      <c r="F533" s="968"/>
      <c r="G533" s="969"/>
      <c r="H533" s="969"/>
      <c r="I533" s="969"/>
      <c r="J533" s="969"/>
      <c r="K533" s="970"/>
      <c r="M533" s="970"/>
      <c r="N533" s="970"/>
      <c r="O533" s="970"/>
      <c r="P533" s="970"/>
      <c r="Q533" s="970"/>
      <c r="R533" s="970"/>
      <c r="S533" s="970"/>
      <c r="T533" s="970"/>
      <c r="U533" s="970"/>
      <c r="V533" s="970"/>
      <c r="W533" s="970"/>
      <c r="X533" s="970"/>
      <c r="Y533" s="970"/>
      <c r="Z533" s="970"/>
      <c r="AA533" s="970"/>
      <c r="AB533" s="970"/>
      <c r="AC533" s="970"/>
      <c r="AD533" s="970"/>
      <c r="AE533" s="970"/>
      <c r="AF533" s="970"/>
      <c r="AG533" s="970"/>
      <c r="AH533" s="970"/>
      <c r="AI533" s="970"/>
      <c r="AJ533" s="970"/>
    </row>
    <row r="534" spans="1:36" s="971" customFormat="1">
      <c r="A534" s="972"/>
      <c r="B534" s="973"/>
      <c r="C534" s="973"/>
      <c r="D534" s="973"/>
      <c r="E534" s="967"/>
      <c r="F534" s="968"/>
      <c r="G534" s="969"/>
      <c r="H534" s="969"/>
      <c r="I534" s="969"/>
      <c r="J534" s="969"/>
      <c r="K534" s="970"/>
      <c r="M534" s="970"/>
      <c r="N534" s="970"/>
      <c r="O534" s="970"/>
      <c r="P534" s="970"/>
      <c r="Q534" s="970"/>
      <c r="R534" s="970"/>
      <c r="S534" s="970"/>
      <c r="T534" s="970"/>
      <c r="U534" s="970"/>
      <c r="V534" s="970"/>
      <c r="W534" s="970"/>
      <c r="X534" s="970"/>
      <c r="Y534" s="970"/>
      <c r="Z534" s="970"/>
      <c r="AA534" s="970"/>
      <c r="AB534" s="970"/>
      <c r="AC534" s="970"/>
      <c r="AD534" s="970"/>
      <c r="AE534" s="970"/>
      <c r="AF534" s="970"/>
      <c r="AG534" s="970"/>
      <c r="AH534" s="970"/>
      <c r="AI534" s="970"/>
      <c r="AJ534" s="970"/>
    </row>
    <row r="535" spans="1:36" s="971" customFormat="1">
      <c r="A535" s="972"/>
      <c r="B535" s="973"/>
      <c r="C535" s="973"/>
      <c r="D535" s="973"/>
      <c r="E535" s="967"/>
      <c r="F535" s="968"/>
      <c r="G535" s="969"/>
      <c r="H535" s="969"/>
      <c r="I535" s="969"/>
      <c r="J535" s="969"/>
      <c r="K535" s="970"/>
      <c r="M535" s="970"/>
      <c r="N535" s="970"/>
      <c r="O535" s="970"/>
      <c r="P535" s="970"/>
      <c r="Q535" s="970"/>
      <c r="R535" s="970"/>
      <c r="S535" s="970"/>
      <c r="T535" s="970"/>
      <c r="U535" s="970"/>
      <c r="V535" s="970"/>
      <c r="W535" s="970"/>
      <c r="X535" s="970"/>
      <c r="Y535" s="970"/>
      <c r="Z535" s="970"/>
      <c r="AA535" s="970"/>
      <c r="AB535" s="970"/>
      <c r="AC535" s="970"/>
      <c r="AD535" s="970"/>
      <c r="AE535" s="970"/>
      <c r="AF535" s="970"/>
      <c r="AG535" s="970"/>
      <c r="AH535" s="970"/>
      <c r="AI535" s="970"/>
      <c r="AJ535" s="970"/>
    </row>
    <row r="536" spans="1:36" s="971" customFormat="1" ht="27" customHeight="1">
      <c r="A536" s="1204" t="s">
        <v>208</v>
      </c>
      <c r="B536" s="1205" t="s">
        <v>1100</v>
      </c>
      <c r="C536" s="1205" t="s">
        <v>1101</v>
      </c>
      <c r="D536" s="1206" t="s">
        <v>1102</v>
      </c>
      <c r="E536" s="1207" t="s">
        <v>1057</v>
      </c>
      <c r="F536" s="974"/>
      <c r="G536" s="969"/>
      <c r="H536" s="974"/>
      <c r="I536" s="974"/>
      <c r="J536" s="969"/>
      <c r="K536" s="970"/>
      <c r="M536" s="970"/>
      <c r="N536" s="970"/>
      <c r="O536" s="970"/>
      <c r="P536" s="970"/>
      <c r="Q536" s="970"/>
      <c r="R536" s="970"/>
      <c r="S536" s="970"/>
      <c r="T536" s="970"/>
      <c r="U536" s="970"/>
      <c r="V536" s="970"/>
      <c r="W536" s="970"/>
      <c r="X536" s="970"/>
      <c r="Y536" s="970"/>
      <c r="Z536" s="970"/>
      <c r="AA536" s="970"/>
      <c r="AB536" s="970"/>
      <c r="AC536" s="970"/>
      <c r="AD536" s="970"/>
      <c r="AE536" s="970"/>
      <c r="AF536" s="970"/>
      <c r="AG536" s="970"/>
      <c r="AH536" s="970"/>
      <c r="AI536" s="970"/>
      <c r="AJ536" s="970"/>
    </row>
    <row r="537" spans="1:36" s="971" customFormat="1">
      <c r="A537" s="1208" t="s">
        <v>1042</v>
      </c>
      <c r="B537" s="1209"/>
      <c r="C537" s="1209"/>
      <c r="D537" s="1210"/>
      <c r="E537" s="1211"/>
      <c r="F537" s="974"/>
      <c r="G537" s="969"/>
      <c r="H537" s="974"/>
      <c r="I537" s="974"/>
      <c r="J537" s="969"/>
      <c r="K537" s="970"/>
      <c r="M537" s="970"/>
      <c r="N537" s="970"/>
      <c r="O537" s="970"/>
      <c r="P537" s="970"/>
      <c r="Q537" s="970"/>
      <c r="R537" s="970"/>
      <c r="S537" s="970"/>
      <c r="T537" s="970"/>
      <c r="U537" s="970"/>
      <c r="V537" s="970"/>
      <c r="W537" s="970"/>
      <c r="X537" s="970"/>
      <c r="Y537" s="970"/>
      <c r="Z537" s="970"/>
      <c r="AA537" s="970"/>
      <c r="AB537" s="970"/>
      <c r="AC537" s="970"/>
      <c r="AD537" s="970"/>
      <c r="AE537" s="970"/>
      <c r="AF537" s="970"/>
      <c r="AG537" s="970"/>
      <c r="AH537" s="970"/>
      <c r="AI537" s="970"/>
      <c r="AJ537" s="970"/>
    </row>
    <row r="538" spans="1:36" s="971" customFormat="1">
      <c r="A538" s="1212"/>
      <c r="B538" s="1209"/>
      <c r="C538" s="1209"/>
      <c r="D538" s="1213"/>
      <c r="E538" s="1214"/>
      <c r="F538" s="974"/>
      <c r="G538" s="969"/>
      <c r="H538" s="974"/>
      <c r="I538" s="974"/>
      <c r="J538" s="969"/>
      <c r="K538" s="970"/>
      <c r="M538" s="970"/>
      <c r="N538" s="970"/>
      <c r="O538" s="970"/>
      <c r="P538" s="970"/>
      <c r="Q538" s="970"/>
      <c r="R538" s="970"/>
      <c r="S538" s="970"/>
      <c r="T538" s="970"/>
      <c r="U538" s="970"/>
      <c r="V538" s="970"/>
      <c r="W538" s="970"/>
      <c r="X538" s="970"/>
      <c r="Y538" s="970"/>
      <c r="Z538" s="970"/>
      <c r="AA538" s="970"/>
      <c r="AB538" s="970"/>
      <c r="AC538" s="970"/>
      <c r="AD538" s="970"/>
      <c r="AE538" s="970"/>
      <c r="AF538" s="970"/>
      <c r="AG538" s="970"/>
      <c r="AH538" s="970"/>
      <c r="AI538" s="970"/>
      <c r="AJ538" s="970"/>
    </row>
    <row r="539" spans="1:36" s="971" customFormat="1">
      <c r="A539" s="1215" t="s">
        <v>211</v>
      </c>
      <c r="B539" s="1216">
        <v>6733427119.1800003</v>
      </c>
      <c r="C539" s="1216">
        <v>6593455927.6400003</v>
      </c>
      <c r="D539" s="1216">
        <v>6560884844.6499996</v>
      </c>
      <c r="E539" s="1217"/>
      <c r="F539" s="974"/>
      <c r="G539" s="969"/>
      <c r="H539" s="974"/>
      <c r="I539" s="974"/>
      <c r="J539" s="969"/>
      <c r="K539" s="970"/>
      <c r="M539" s="970"/>
      <c r="N539" s="970"/>
      <c r="O539" s="970"/>
      <c r="P539" s="970"/>
      <c r="Q539" s="970"/>
      <c r="R539" s="970"/>
      <c r="S539" s="970"/>
      <c r="T539" s="970"/>
      <c r="U539" s="970"/>
      <c r="V539" s="970"/>
      <c r="W539" s="970"/>
      <c r="X539" s="970"/>
      <c r="Y539" s="970"/>
      <c r="Z539" s="970"/>
      <c r="AA539" s="970"/>
      <c r="AB539" s="970"/>
      <c r="AC539" s="970"/>
      <c r="AD539" s="970"/>
      <c r="AE539" s="970"/>
      <c r="AF539" s="970"/>
      <c r="AG539" s="970"/>
      <c r="AH539" s="970"/>
      <c r="AI539" s="970"/>
      <c r="AJ539" s="970"/>
    </row>
    <row r="540" spans="1:36" s="971" customFormat="1" ht="15" customHeight="1">
      <c r="A540" s="1218"/>
      <c r="B540" s="1219"/>
      <c r="C540" s="1220"/>
      <c r="D540" s="1220"/>
      <c r="E540" s="1217"/>
      <c r="F540" s="974"/>
      <c r="G540" s="969"/>
      <c r="H540" s="974"/>
      <c r="I540" s="974"/>
      <c r="J540" s="969"/>
      <c r="K540" s="970"/>
      <c r="M540" s="970"/>
      <c r="N540" s="970"/>
      <c r="O540" s="970"/>
      <c r="P540" s="970"/>
      <c r="Q540" s="970"/>
      <c r="R540" s="970"/>
      <c r="S540" s="970"/>
      <c r="T540" s="970"/>
      <c r="U540" s="970"/>
      <c r="V540" s="970"/>
      <c r="W540" s="970"/>
      <c r="X540" s="970"/>
      <c r="Y540" s="970"/>
      <c r="Z540" s="970"/>
      <c r="AA540" s="970"/>
      <c r="AB540" s="970"/>
      <c r="AC540" s="970"/>
      <c r="AD540" s="970"/>
      <c r="AE540" s="970"/>
      <c r="AF540" s="970"/>
      <c r="AG540" s="970"/>
      <c r="AH540" s="970"/>
      <c r="AI540" s="970"/>
      <c r="AJ540" s="970"/>
    </row>
    <row r="541" spans="1:36" s="971" customFormat="1">
      <c r="A541" s="1215" t="s">
        <v>209</v>
      </c>
      <c r="B541" s="1221">
        <v>-11166816.845869254</v>
      </c>
      <c r="C541" s="1221">
        <v>-11280427.890664723</v>
      </c>
      <c r="D541" s="1221">
        <v>-10947502.093043175</v>
      </c>
      <c r="E541" s="1221">
        <v>-33394746.829577152</v>
      </c>
      <c r="F541" s="974"/>
      <c r="G541" s="969"/>
      <c r="H541" s="974"/>
      <c r="I541" s="974"/>
      <c r="J541" s="969"/>
      <c r="K541" s="970"/>
      <c r="M541" s="970"/>
      <c r="N541" s="970"/>
      <c r="O541" s="970"/>
      <c r="P541" s="970"/>
      <c r="Q541" s="970"/>
      <c r="R541" s="970"/>
      <c r="S541" s="970"/>
      <c r="T541" s="970"/>
      <c r="U541" s="970"/>
      <c r="V541" s="970"/>
      <c r="W541" s="970"/>
      <c r="X541" s="970"/>
      <c r="Y541" s="970"/>
      <c r="Z541" s="970"/>
      <c r="AA541" s="970"/>
      <c r="AB541" s="970"/>
      <c r="AC541" s="970"/>
      <c r="AD541" s="970"/>
      <c r="AE541" s="970"/>
      <c r="AF541" s="970"/>
      <c r="AG541" s="970"/>
      <c r="AH541" s="970"/>
      <c r="AI541" s="970"/>
      <c r="AJ541" s="970"/>
    </row>
    <row r="542" spans="1:36" s="971" customFormat="1">
      <c r="A542" s="1215" t="s">
        <v>618</v>
      </c>
      <c r="B542" s="1222">
        <v>2.0190799999999998E-2</v>
      </c>
      <c r="C542" s="1222">
        <v>2.0157700000000001E-2</v>
      </c>
      <c r="D542" s="1222">
        <v>1.96601E-2</v>
      </c>
      <c r="E542" s="1217"/>
      <c r="F542" s="974"/>
      <c r="G542" s="969"/>
      <c r="H542" s="974"/>
      <c r="I542" s="974"/>
      <c r="J542" s="969"/>
      <c r="K542" s="970"/>
      <c r="M542" s="970"/>
      <c r="N542" s="970"/>
      <c r="O542" s="970"/>
      <c r="P542" s="970"/>
      <c r="Q542" s="970"/>
      <c r="R542" s="970"/>
      <c r="S542" s="970"/>
      <c r="T542" s="970"/>
      <c r="U542" s="970"/>
      <c r="V542" s="970"/>
      <c r="W542" s="970"/>
      <c r="X542" s="970"/>
      <c r="Y542" s="970"/>
      <c r="Z542" s="970"/>
      <c r="AA542" s="970"/>
      <c r="AB542" s="970"/>
      <c r="AC542" s="970"/>
      <c r="AD542" s="970"/>
      <c r="AE542" s="970"/>
      <c r="AF542" s="970"/>
      <c r="AG542" s="970"/>
      <c r="AH542" s="970"/>
      <c r="AI542" s="970"/>
      <c r="AJ542" s="970"/>
    </row>
    <row r="543" spans="1:36" s="971" customFormat="1">
      <c r="A543" s="1215"/>
      <c r="B543" s="1219"/>
      <c r="C543" s="1219"/>
      <c r="D543" s="1219"/>
      <c r="E543" s="1223"/>
      <c r="F543" s="968"/>
      <c r="G543" s="969"/>
      <c r="H543" s="969"/>
      <c r="I543" s="969"/>
      <c r="J543" s="969"/>
      <c r="K543" s="970"/>
      <c r="M543" s="970"/>
      <c r="N543" s="970"/>
      <c r="O543" s="970"/>
      <c r="P543" s="970"/>
      <c r="Q543" s="970"/>
      <c r="R543" s="970"/>
      <c r="S543" s="970"/>
      <c r="T543" s="970"/>
      <c r="U543" s="970"/>
      <c r="V543" s="970"/>
      <c r="W543" s="970"/>
      <c r="X543" s="970"/>
      <c r="Y543" s="970"/>
      <c r="Z543" s="970"/>
      <c r="AA543" s="970"/>
      <c r="AB543" s="970"/>
      <c r="AC543" s="970"/>
      <c r="AD543" s="970"/>
      <c r="AE543" s="970"/>
      <c r="AF543" s="970"/>
      <c r="AG543" s="970"/>
      <c r="AH543" s="970"/>
      <c r="AI543" s="970"/>
      <c r="AJ543" s="970"/>
    </row>
    <row r="544" spans="1:36" s="971" customFormat="1">
      <c r="A544" s="1215" t="s">
        <v>1043</v>
      </c>
      <c r="B544" s="1221">
        <v>12558306.610142177</v>
      </c>
      <c r="C544" s="1221">
        <v>12707936.436920699</v>
      </c>
      <c r="D544" s="1221">
        <v>12688259.577760115</v>
      </c>
      <c r="E544" s="1221">
        <v>37954502.624822989</v>
      </c>
      <c r="F544" s="968"/>
      <c r="G544" s="969"/>
      <c r="H544" s="969"/>
      <c r="I544" s="969"/>
      <c r="J544" s="969"/>
      <c r="K544" s="970"/>
      <c r="M544" s="970"/>
      <c r="N544" s="970"/>
      <c r="O544" s="970"/>
      <c r="P544" s="970"/>
      <c r="Q544" s="970"/>
      <c r="R544" s="970"/>
      <c r="S544" s="970"/>
      <c r="T544" s="970"/>
      <c r="U544" s="970"/>
      <c r="V544" s="970"/>
      <c r="W544" s="970"/>
      <c r="X544" s="970"/>
      <c r="Y544" s="970"/>
      <c r="Z544" s="970"/>
      <c r="AA544" s="970"/>
      <c r="AB544" s="970"/>
      <c r="AC544" s="970"/>
      <c r="AD544" s="970"/>
      <c r="AE544" s="970"/>
      <c r="AF544" s="970"/>
      <c r="AG544" s="970"/>
      <c r="AH544" s="970"/>
      <c r="AI544" s="970"/>
      <c r="AJ544" s="970"/>
    </row>
    <row r="545" spans="1:36" s="971" customFormat="1">
      <c r="A545" s="1215" t="s">
        <v>210</v>
      </c>
      <c r="B545" s="1224" t="s">
        <v>685</v>
      </c>
      <c r="C545" s="1224" t="s">
        <v>685</v>
      </c>
      <c r="D545" s="1224" t="s">
        <v>685</v>
      </c>
      <c r="E545" s="1223"/>
      <c r="F545" s="968"/>
      <c r="G545" s="969"/>
      <c r="H545" s="969"/>
      <c r="I545" s="969"/>
      <c r="J545" s="969"/>
      <c r="K545" s="970"/>
      <c r="M545" s="970"/>
      <c r="N545" s="970"/>
      <c r="O545" s="970"/>
      <c r="P545" s="970"/>
      <c r="Q545" s="970"/>
      <c r="R545" s="970"/>
      <c r="S545" s="970"/>
      <c r="T545" s="970"/>
      <c r="U545" s="970"/>
      <c r="V545" s="970"/>
      <c r="W545" s="970"/>
      <c r="X545" s="970"/>
      <c r="Y545" s="970"/>
      <c r="Z545" s="970"/>
      <c r="AA545" s="970"/>
      <c r="AB545" s="970"/>
      <c r="AC545" s="970"/>
      <c r="AD545" s="970"/>
      <c r="AE545" s="970"/>
      <c r="AF545" s="970"/>
      <c r="AG545" s="970"/>
      <c r="AH545" s="970"/>
      <c r="AI545" s="970"/>
      <c r="AJ545" s="970"/>
    </row>
    <row r="546" spans="1:36" s="971" customFormat="1">
      <c r="A546" s="1215"/>
      <c r="B546" s="1224"/>
      <c r="C546" s="1224"/>
      <c r="D546" s="1224"/>
      <c r="E546" s="1223"/>
      <c r="F546" s="968"/>
      <c r="G546" s="969"/>
      <c r="H546" s="969"/>
      <c r="I546" s="969"/>
      <c r="J546" s="969"/>
      <c r="K546" s="970"/>
      <c r="M546" s="970"/>
      <c r="N546" s="970"/>
      <c r="O546" s="970"/>
      <c r="P546" s="970"/>
      <c r="Q546" s="970"/>
      <c r="R546" s="970"/>
      <c r="S546" s="970"/>
      <c r="T546" s="970"/>
      <c r="U546" s="970"/>
      <c r="V546" s="970"/>
      <c r="W546" s="970"/>
      <c r="X546" s="970"/>
      <c r="Y546" s="970"/>
      <c r="Z546" s="970"/>
      <c r="AA546" s="970"/>
      <c r="AB546" s="970"/>
      <c r="AC546" s="970"/>
      <c r="AD546" s="970"/>
      <c r="AE546" s="970"/>
      <c r="AF546" s="970"/>
      <c r="AG546" s="970"/>
      <c r="AH546" s="970"/>
      <c r="AI546" s="970"/>
      <c r="AJ546" s="970"/>
    </row>
    <row r="547" spans="1:36" s="971" customFormat="1">
      <c r="A547" s="1215" t="s">
        <v>619</v>
      </c>
      <c r="B547" s="1221">
        <v>1391489.7642729226</v>
      </c>
      <c r="C547" s="1221">
        <v>1427508.546255976</v>
      </c>
      <c r="D547" s="1221">
        <v>1740757.4847169407</v>
      </c>
      <c r="E547" s="1221">
        <v>4559755.7952458393</v>
      </c>
      <c r="F547" s="968"/>
      <c r="G547" s="969"/>
      <c r="H547" s="969"/>
      <c r="I547" s="969"/>
      <c r="J547" s="969"/>
      <c r="K547" s="970"/>
      <c r="M547" s="970"/>
      <c r="N547" s="970"/>
      <c r="O547" s="970"/>
      <c r="P547" s="970"/>
      <c r="Q547" s="970"/>
      <c r="R547" s="970"/>
      <c r="S547" s="970"/>
      <c r="T547" s="970"/>
      <c r="U547" s="970"/>
      <c r="V547" s="970"/>
      <c r="W547" s="970"/>
      <c r="X547" s="970"/>
      <c r="Y547" s="970"/>
      <c r="Z547" s="970"/>
      <c r="AA547" s="970"/>
      <c r="AB547" s="970"/>
      <c r="AC547" s="970"/>
      <c r="AD547" s="970"/>
      <c r="AE547" s="970"/>
      <c r="AF547" s="970"/>
      <c r="AG547" s="970"/>
      <c r="AH547" s="970"/>
      <c r="AI547" s="970"/>
      <c r="AJ547" s="970"/>
    </row>
    <row r="548" spans="1:36" s="971" customFormat="1">
      <c r="A548" s="1218"/>
      <c r="B548" s="1225"/>
      <c r="C548" s="1225"/>
      <c r="D548" s="1225"/>
      <c r="E548" s="1223"/>
      <c r="F548" s="968"/>
      <c r="G548" s="969"/>
      <c r="H548" s="969"/>
      <c r="I548" s="969"/>
      <c r="J548" s="969"/>
      <c r="K548" s="970"/>
      <c r="M548" s="970"/>
      <c r="N548" s="970"/>
      <c r="O548" s="970"/>
      <c r="P548" s="970"/>
      <c r="Q548" s="970"/>
      <c r="R548" s="970"/>
      <c r="S548" s="970"/>
      <c r="T548" s="970"/>
      <c r="U548" s="970"/>
      <c r="V548" s="970"/>
      <c r="W548" s="970"/>
      <c r="X548" s="970"/>
      <c r="Y548" s="970"/>
      <c r="Z548" s="970"/>
      <c r="AA548" s="970"/>
      <c r="AB548" s="970"/>
      <c r="AC548" s="970"/>
      <c r="AD548" s="970"/>
      <c r="AE548" s="970"/>
      <c r="AF548" s="970"/>
      <c r="AG548" s="970"/>
      <c r="AH548" s="970"/>
      <c r="AI548" s="970"/>
      <c r="AJ548" s="970"/>
    </row>
    <row r="549" spans="1:36" s="971" customFormat="1" ht="15.75" customHeight="1">
      <c r="A549" s="1226" t="s">
        <v>620</v>
      </c>
      <c r="B549" s="1227">
        <v>0</v>
      </c>
      <c r="C549" s="1227">
        <v>0</v>
      </c>
      <c r="D549" s="1227">
        <v>0</v>
      </c>
      <c r="E549" s="1228">
        <v>0</v>
      </c>
      <c r="F549" s="968"/>
      <c r="G549" s="969"/>
      <c r="H549" s="969"/>
      <c r="I549" s="969"/>
      <c r="J549" s="969"/>
      <c r="K549" s="970"/>
      <c r="M549" s="970"/>
      <c r="N549" s="970"/>
      <c r="O549" s="970"/>
      <c r="P549" s="970"/>
      <c r="Q549" s="970"/>
      <c r="R549" s="970"/>
      <c r="S549" s="970"/>
      <c r="T549" s="970"/>
      <c r="U549" s="970"/>
      <c r="V549" s="970"/>
      <c r="W549" s="970"/>
      <c r="X549" s="970"/>
      <c r="Y549" s="970"/>
      <c r="Z549" s="970"/>
      <c r="AA549" s="970"/>
      <c r="AB549" s="970"/>
      <c r="AC549" s="970"/>
      <c r="AD549" s="970"/>
      <c r="AE549" s="970"/>
      <c r="AF549" s="970"/>
      <c r="AG549" s="970"/>
      <c r="AH549" s="970"/>
      <c r="AI549" s="970"/>
      <c r="AJ549" s="970"/>
    </row>
    <row r="550" spans="1:36" s="971" customFormat="1">
      <c r="A550" s="972"/>
      <c r="B550" s="977"/>
      <c r="C550" s="967"/>
      <c r="D550" s="968"/>
      <c r="E550" s="968"/>
      <c r="F550" s="968"/>
      <c r="G550" s="969"/>
      <c r="H550" s="969"/>
      <c r="I550" s="969"/>
      <c r="J550" s="969"/>
      <c r="K550" s="970"/>
      <c r="M550" s="970"/>
      <c r="N550" s="970"/>
      <c r="O550" s="970"/>
      <c r="P550" s="970"/>
      <c r="Q550" s="970"/>
      <c r="R550" s="970"/>
      <c r="S550" s="970"/>
      <c r="T550" s="970"/>
      <c r="U550" s="970"/>
      <c r="V550" s="970"/>
      <c r="W550" s="970"/>
      <c r="X550" s="970"/>
      <c r="Y550" s="970"/>
      <c r="Z550" s="970"/>
      <c r="AA550" s="970"/>
      <c r="AB550" s="970"/>
      <c r="AC550" s="970"/>
      <c r="AD550" s="970"/>
      <c r="AE550" s="970"/>
      <c r="AF550" s="970"/>
      <c r="AG550" s="970"/>
      <c r="AH550" s="970"/>
      <c r="AI550" s="970"/>
      <c r="AJ550" s="970"/>
    </row>
    <row r="551" spans="1:36" s="971" customFormat="1">
      <c r="A551" s="978"/>
      <c r="B551" s="966"/>
      <c r="C551" s="967"/>
      <c r="D551" s="968"/>
      <c r="E551" s="968"/>
      <c r="F551" s="968"/>
      <c r="G551" s="969"/>
      <c r="H551" s="969"/>
      <c r="I551" s="969"/>
      <c r="J551" s="969"/>
      <c r="K551" s="970"/>
      <c r="M551" s="970"/>
      <c r="N551" s="970"/>
      <c r="O551" s="970"/>
      <c r="P551" s="970"/>
      <c r="Q551" s="970"/>
      <c r="R551" s="970"/>
      <c r="S551" s="970"/>
      <c r="T551" s="970"/>
      <c r="U551" s="970"/>
      <c r="V551" s="970"/>
      <c r="W551" s="970"/>
      <c r="X551" s="970"/>
      <c r="Y551" s="970"/>
      <c r="Z551" s="970"/>
      <c r="AA551" s="970"/>
      <c r="AB551" s="970"/>
      <c r="AC551" s="970"/>
      <c r="AD551" s="970"/>
      <c r="AE551" s="970"/>
      <c r="AF551" s="970"/>
      <c r="AG551" s="970"/>
      <c r="AH551" s="970"/>
      <c r="AI551" s="970"/>
      <c r="AJ551" s="970"/>
    </row>
    <row r="552" spans="1:36" s="971" customFormat="1" ht="18.75">
      <c r="A552" s="979" t="s">
        <v>378</v>
      </c>
      <c r="B552" s="966"/>
      <c r="C552" s="967"/>
      <c r="D552" s="968"/>
      <c r="E552" s="968"/>
      <c r="F552" s="968"/>
      <c r="G552" s="980"/>
      <c r="H552" s="981"/>
      <c r="I552" s="980"/>
      <c r="J552" s="982"/>
      <c r="K552" s="970"/>
      <c r="M552" s="970"/>
      <c r="N552" s="970"/>
      <c r="O552" s="970"/>
      <c r="P552" s="970"/>
      <c r="Q552" s="970"/>
      <c r="R552" s="970"/>
      <c r="S552" s="970"/>
      <c r="T552" s="970"/>
      <c r="U552" s="970"/>
      <c r="V552" s="970"/>
      <c r="W552" s="970"/>
      <c r="X552" s="970"/>
      <c r="Y552" s="970"/>
      <c r="Z552" s="970"/>
      <c r="AA552" s="970"/>
      <c r="AB552" s="970"/>
      <c r="AC552" s="970"/>
      <c r="AD552" s="970"/>
      <c r="AE552" s="970"/>
      <c r="AF552" s="970"/>
      <c r="AG552" s="970"/>
      <c r="AH552" s="970"/>
      <c r="AI552" s="970"/>
      <c r="AJ552" s="970"/>
    </row>
    <row r="553" spans="1:36" s="971" customFormat="1">
      <c r="A553" s="983"/>
      <c r="B553" s="976"/>
      <c r="C553" s="975"/>
      <c r="D553" s="984">
        <v>8</v>
      </c>
      <c r="E553" s="984">
        <v>8</v>
      </c>
      <c r="F553" s="984">
        <v>9</v>
      </c>
      <c r="G553" s="984">
        <v>10</v>
      </c>
      <c r="H553" s="985"/>
      <c r="I553" s="986"/>
      <c r="J553" s="987"/>
      <c r="K553" s="985"/>
      <c r="L553" s="988"/>
      <c r="M553" s="970"/>
      <c r="N553" s="970"/>
      <c r="O553" s="970"/>
      <c r="P553" s="970"/>
      <c r="Q553" s="970"/>
      <c r="R553" s="970"/>
      <c r="S553" s="970"/>
      <c r="T553" s="970"/>
      <c r="U553" s="970"/>
      <c r="V553" s="970"/>
      <c r="W553" s="970"/>
      <c r="X553" s="970"/>
      <c r="Y553" s="970"/>
      <c r="Z553" s="970"/>
      <c r="AA553" s="970"/>
      <c r="AB553" s="970"/>
      <c r="AC553" s="970"/>
      <c r="AD553" s="970"/>
      <c r="AE553" s="970"/>
      <c r="AF553" s="970"/>
      <c r="AG553" s="970"/>
      <c r="AH553" s="970"/>
      <c r="AI553" s="970"/>
      <c r="AJ553" s="970"/>
    </row>
    <row r="554" spans="1:36" s="971" customFormat="1" ht="15.75">
      <c r="A554" s="989" t="s">
        <v>407</v>
      </c>
      <c r="B554" s="990"/>
      <c r="C554" s="991" t="s">
        <v>15</v>
      </c>
      <c r="D554" s="992" t="s">
        <v>10</v>
      </c>
      <c r="E554" s="969"/>
      <c r="F554" s="993"/>
      <c r="G554" s="969"/>
      <c r="H554" s="994"/>
      <c r="I554" s="995"/>
      <c r="J554" s="996"/>
      <c r="K554" s="994"/>
      <c r="L554" s="969"/>
      <c r="M554" s="970"/>
      <c r="N554" s="970"/>
      <c r="O554" s="970"/>
      <c r="P554" s="970"/>
      <c r="Q554" s="970"/>
      <c r="R554" s="970"/>
      <c r="S554" s="970"/>
      <c r="T554" s="970"/>
      <c r="U554" s="970"/>
      <c r="V554" s="970"/>
      <c r="W554" s="970"/>
      <c r="X554" s="970"/>
      <c r="Y554" s="970"/>
      <c r="Z554" s="970"/>
      <c r="AA554" s="970"/>
      <c r="AB554" s="970"/>
      <c r="AC554" s="970"/>
      <c r="AD554" s="970"/>
      <c r="AE554" s="970"/>
      <c r="AF554" s="970"/>
      <c r="AG554" s="970"/>
      <c r="AH554" s="970"/>
      <c r="AI554" s="970"/>
      <c r="AJ554" s="970"/>
    </row>
    <row r="555" spans="1:36" s="971" customFormat="1">
      <c r="A555" s="997"/>
      <c r="B555" s="976"/>
      <c r="C555" s="969"/>
      <c r="D555" s="998"/>
      <c r="E555" s="969"/>
      <c r="F555" s="993"/>
      <c r="G555" s="969"/>
      <c r="H555" s="994"/>
      <c r="I555" s="995"/>
      <c r="J555" s="996"/>
      <c r="K555" s="994"/>
      <c r="L555" s="969"/>
      <c r="M555" s="970"/>
      <c r="N555" s="970"/>
      <c r="O555" s="970"/>
      <c r="P555" s="970"/>
      <c r="Q555" s="970"/>
      <c r="R555" s="970"/>
      <c r="S555" s="970"/>
      <c r="T555" s="970"/>
      <c r="U555" s="970"/>
      <c r="V555" s="970"/>
      <c r="W555" s="970"/>
      <c r="X555" s="970"/>
      <c r="Y555" s="970"/>
      <c r="Z555" s="970"/>
      <c r="AA555" s="970"/>
      <c r="AB555" s="970"/>
      <c r="AC555" s="970"/>
      <c r="AD555" s="970"/>
      <c r="AE555" s="970"/>
      <c r="AF555" s="970"/>
      <c r="AG555" s="970"/>
      <c r="AH555" s="970"/>
      <c r="AI555" s="970"/>
      <c r="AJ555" s="970"/>
    </row>
    <row r="556" spans="1:36" s="971" customFormat="1">
      <c r="A556" s="999" t="s">
        <v>408</v>
      </c>
      <c r="B556" s="976"/>
      <c r="C556" s="980" t="s">
        <v>414</v>
      </c>
      <c r="D556" s="1000" t="s">
        <v>415</v>
      </c>
      <c r="E556" s="982"/>
      <c r="F556" s="981"/>
      <c r="G556" s="982"/>
      <c r="H556" s="981"/>
      <c r="I556" s="982"/>
      <c r="J556" s="980"/>
      <c r="K556" s="981"/>
      <c r="L556" s="982"/>
      <c r="M556" s="970"/>
      <c r="N556" s="970"/>
      <c r="O556" s="970"/>
      <c r="P556" s="970"/>
      <c r="Q556" s="970"/>
      <c r="R556" s="970"/>
      <c r="S556" s="970"/>
      <c r="T556" s="970"/>
      <c r="U556" s="970"/>
      <c r="V556" s="970"/>
      <c r="W556" s="970"/>
      <c r="X556" s="970"/>
      <c r="Y556" s="970"/>
      <c r="Z556" s="970"/>
      <c r="AA556" s="970"/>
      <c r="AB556" s="970"/>
      <c r="AC556" s="970"/>
      <c r="AD556" s="970"/>
      <c r="AE556" s="970"/>
      <c r="AF556" s="970"/>
      <c r="AG556" s="970"/>
      <c r="AH556" s="970"/>
      <c r="AI556" s="970"/>
      <c r="AJ556" s="970"/>
    </row>
    <row r="557" spans="1:36" s="971" customFormat="1">
      <c r="A557" s="999" t="s">
        <v>416</v>
      </c>
      <c r="B557" s="976"/>
      <c r="C557" s="980" t="s">
        <v>913</v>
      </c>
      <c r="D557" s="1000">
        <v>27384650</v>
      </c>
      <c r="E557" s="982"/>
      <c r="F557" s="982"/>
      <c r="G557" s="982"/>
      <c r="H557" s="982"/>
      <c r="I557" s="982"/>
      <c r="J557" s="980"/>
      <c r="K557" s="982"/>
      <c r="L557" s="982"/>
      <c r="M557" s="970"/>
      <c r="N557" s="970"/>
      <c r="O557" s="970"/>
      <c r="P557" s="970"/>
      <c r="Q557" s="970"/>
      <c r="R557" s="970"/>
      <c r="S557" s="970"/>
      <c r="T557" s="970"/>
      <c r="U557" s="970"/>
      <c r="V557" s="970"/>
      <c r="W557" s="970"/>
      <c r="X557" s="970"/>
      <c r="Y557" s="970"/>
      <c r="Z557" s="970"/>
      <c r="AA557" s="970"/>
      <c r="AB557" s="970"/>
      <c r="AC557" s="970"/>
      <c r="AD557" s="970"/>
      <c r="AE557" s="970"/>
      <c r="AF557" s="970"/>
      <c r="AG557" s="970"/>
      <c r="AH557" s="970"/>
      <c r="AI557" s="970"/>
      <c r="AJ557" s="970"/>
    </row>
    <row r="558" spans="1:36" s="971" customFormat="1">
      <c r="A558" s="999" t="s">
        <v>212</v>
      </c>
      <c r="B558" s="976"/>
      <c r="C558" s="1001">
        <v>39030</v>
      </c>
      <c r="D558" s="1002">
        <v>39030</v>
      </c>
      <c r="E558" s="1001"/>
      <c r="F558" s="1001"/>
      <c r="G558" s="1001"/>
      <c r="H558" s="1001"/>
      <c r="I558" s="1001"/>
      <c r="J558" s="1001"/>
      <c r="K558" s="1001"/>
      <c r="L558" s="1001"/>
      <c r="M558" s="970"/>
      <c r="N558" s="970"/>
      <c r="O558" s="970"/>
      <c r="P558" s="970"/>
      <c r="Q558" s="970"/>
      <c r="R558" s="970"/>
      <c r="S558" s="970"/>
      <c r="T558" s="970"/>
      <c r="U558" s="970"/>
      <c r="V558" s="970"/>
      <c r="W558" s="970"/>
      <c r="X558" s="970"/>
      <c r="Y558" s="970"/>
      <c r="Z558" s="970"/>
      <c r="AA558" s="970"/>
      <c r="AB558" s="970"/>
      <c r="AC558" s="970"/>
      <c r="AD558" s="970"/>
      <c r="AE558" s="970"/>
      <c r="AF558" s="970"/>
      <c r="AG558" s="970"/>
      <c r="AH558" s="970"/>
      <c r="AI558" s="970"/>
      <c r="AJ558" s="970"/>
    </row>
    <row r="559" spans="1:36" s="971" customFormat="1">
      <c r="A559" s="999" t="s">
        <v>675</v>
      </c>
      <c r="B559" s="976"/>
      <c r="C559" s="987">
        <v>1038500000</v>
      </c>
      <c r="D559" s="1003">
        <v>500000000</v>
      </c>
      <c r="E559" s="986"/>
      <c r="F559" s="985"/>
      <c r="G559" s="986"/>
      <c r="H559" s="985"/>
      <c r="I559" s="986"/>
      <c r="J559" s="987"/>
      <c r="K559" s="985"/>
      <c r="L559" s="986"/>
      <c r="M559" s="970"/>
      <c r="N559" s="970"/>
      <c r="O559" s="970"/>
      <c r="P559" s="970"/>
      <c r="Q559" s="970"/>
      <c r="R559" s="970"/>
      <c r="S559" s="970"/>
      <c r="T559" s="970"/>
      <c r="U559" s="970"/>
      <c r="V559" s="970"/>
      <c r="W559" s="970"/>
      <c r="X559" s="970"/>
      <c r="Y559" s="970"/>
      <c r="Z559" s="970"/>
      <c r="AA559" s="970"/>
      <c r="AB559" s="970"/>
      <c r="AC559" s="970"/>
      <c r="AD559" s="970"/>
      <c r="AE559" s="970"/>
      <c r="AF559" s="970"/>
      <c r="AG559" s="970"/>
      <c r="AH559" s="970"/>
      <c r="AI559" s="970"/>
      <c r="AJ559" s="970"/>
    </row>
    <row r="560" spans="1:36" s="971" customFormat="1">
      <c r="A560" s="999" t="s">
        <v>676</v>
      </c>
      <c r="B560" s="976"/>
      <c r="C560" s="987">
        <v>305182211.39999998</v>
      </c>
      <c r="D560" s="1004">
        <v>500000000</v>
      </c>
      <c r="E560" s="1005"/>
      <c r="F560" s="985"/>
      <c r="G560" s="986"/>
      <c r="H560" s="985"/>
      <c r="I560" s="1005"/>
      <c r="J560" s="987"/>
      <c r="K560" s="985"/>
      <c r="L560" s="1005"/>
      <c r="M560" s="970"/>
      <c r="N560" s="970"/>
      <c r="O560" s="970"/>
      <c r="P560" s="970"/>
      <c r="Q560" s="970"/>
      <c r="R560" s="970"/>
      <c r="S560" s="970"/>
      <c r="T560" s="970"/>
      <c r="U560" s="970"/>
      <c r="V560" s="970"/>
      <c r="W560" s="970"/>
      <c r="X560" s="970"/>
      <c r="Y560" s="970"/>
      <c r="Z560" s="970"/>
      <c r="AA560" s="970"/>
      <c r="AB560" s="970"/>
      <c r="AC560" s="970"/>
      <c r="AD560" s="970"/>
      <c r="AE560" s="970"/>
      <c r="AF560" s="970"/>
      <c r="AG560" s="970"/>
      <c r="AH560" s="970"/>
      <c r="AI560" s="970"/>
      <c r="AJ560" s="970"/>
    </row>
    <row r="561" spans="1:36" s="971" customFormat="1">
      <c r="A561" s="999" t="s">
        <v>907</v>
      </c>
      <c r="B561" s="976"/>
      <c r="C561" s="987">
        <v>159154573.19</v>
      </c>
      <c r="D561" s="1004">
        <v>0</v>
      </c>
      <c r="E561" s="1005"/>
      <c r="F561" s="1006"/>
      <c r="G561" s="986"/>
      <c r="H561" s="985"/>
      <c r="I561" s="1005"/>
      <c r="J561" s="987"/>
      <c r="K561" s="985"/>
      <c r="L561" s="1005"/>
      <c r="M561" s="970"/>
      <c r="N561" s="970"/>
      <c r="O561" s="970"/>
      <c r="P561" s="970"/>
      <c r="Q561" s="970"/>
      <c r="R561" s="970"/>
      <c r="S561" s="970"/>
      <c r="T561" s="970"/>
      <c r="U561" s="970"/>
      <c r="V561" s="970"/>
      <c r="W561" s="970"/>
      <c r="X561" s="970"/>
      <c r="Y561" s="970"/>
      <c r="Z561" s="970"/>
      <c r="AA561" s="970"/>
      <c r="AB561" s="970"/>
      <c r="AC561" s="970"/>
      <c r="AD561" s="970"/>
      <c r="AE561" s="970"/>
      <c r="AF561" s="970"/>
      <c r="AG561" s="970"/>
      <c r="AH561" s="970"/>
      <c r="AI561" s="970"/>
      <c r="AJ561" s="970"/>
    </row>
    <row r="562" spans="1:36" s="971" customFormat="1">
      <c r="A562" s="999" t="s">
        <v>677</v>
      </c>
      <c r="B562" s="976"/>
      <c r="C562" s="987">
        <v>146027638.21000004</v>
      </c>
      <c r="D562" s="1004">
        <v>500000000</v>
      </c>
      <c r="E562" s="1005"/>
      <c r="F562" s="985"/>
      <c r="G562" s="986"/>
      <c r="H562" s="985"/>
      <c r="I562" s="1005"/>
      <c r="J562" s="987"/>
      <c r="K562" s="985"/>
      <c r="L562" s="1005"/>
      <c r="M562" s="970"/>
      <c r="N562" s="970"/>
      <c r="O562" s="970"/>
      <c r="P562" s="970"/>
      <c r="Q562" s="970"/>
      <c r="R562" s="970"/>
      <c r="S562" s="970"/>
      <c r="T562" s="970"/>
      <c r="U562" s="970"/>
      <c r="V562" s="970"/>
      <c r="W562" s="970"/>
      <c r="X562" s="970"/>
      <c r="Y562" s="970"/>
      <c r="Z562" s="970"/>
      <c r="AA562" s="970"/>
      <c r="AB562" s="970"/>
      <c r="AC562" s="970"/>
      <c r="AD562" s="970"/>
      <c r="AE562" s="970"/>
      <c r="AF562" s="970"/>
      <c r="AG562" s="970"/>
      <c r="AH562" s="970"/>
      <c r="AI562" s="970"/>
      <c r="AJ562" s="970"/>
    </row>
    <row r="563" spans="1:36" s="971" customFormat="1">
      <c r="A563" s="999" t="s">
        <v>213</v>
      </c>
      <c r="B563" s="976"/>
      <c r="C563" s="1007">
        <v>1.8969</v>
      </c>
      <c r="D563" s="1008">
        <v>1</v>
      </c>
      <c r="E563" s="1007"/>
      <c r="F563" s="1007"/>
      <c r="G563" s="1007"/>
      <c r="H563" s="1007"/>
      <c r="I563" s="1007"/>
      <c r="J563" s="1007"/>
      <c r="K563" s="1007"/>
      <c r="L563" s="1007"/>
      <c r="M563" s="970"/>
      <c r="N563" s="970"/>
      <c r="O563" s="970"/>
      <c r="P563" s="970"/>
      <c r="Q563" s="970"/>
      <c r="R563" s="970"/>
      <c r="S563" s="970"/>
      <c r="T563" s="970"/>
      <c r="U563" s="970"/>
      <c r="V563" s="970"/>
      <c r="W563" s="970"/>
      <c r="X563" s="970"/>
      <c r="Y563" s="970"/>
      <c r="Z563" s="970"/>
      <c r="AA563" s="970"/>
      <c r="AB563" s="970"/>
      <c r="AC563" s="970"/>
      <c r="AD563" s="970"/>
      <c r="AE563" s="970"/>
      <c r="AF563" s="970"/>
      <c r="AG563" s="970"/>
      <c r="AH563" s="970"/>
      <c r="AI563" s="970"/>
      <c r="AJ563" s="970"/>
    </row>
    <row r="564" spans="1:36" s="971" customFormat="1">
      <c r="A564" s="999" t="s">
        <v>402</v>
      </c>
      <c r="B564" s="976"/>
      <c r="C564" s="1007">
        <v>0.29386800000000002</v>
      </c>
      <c r="D564" s="1008">
        <v>1</v>
      </c>
      <c r="E564" s="1007"/>
      <c r="F564" s="1007"/>
      <c r="G564" s="1007"/>
      <c r="H564" s="1007"/>
      <c r="I564" s="1007"/>
      <c r="J564" s="1007"/>
      <c r="K564" s="1007"/>
      <c r="L564" s="1007"/>
      <c r="M564" s="970"/>
      <c r="N564" s="970"/>
      <c r="O564" s="970"/>
      <c r="P564" s="970"/>
      <c r="Q564" s="970"/>
      <c r="R564" s="970"/>
      <c r="S564" s="970"/>
      <c r="T564" s="970"/>
      <c r="U564" s="970"/>
      <c r="V564" s="970"/>
      <c r="W564" s="970"/>
      <c r="X564" s="970"/>
      <c r="Y564" s="970"/>
      <c r="Z564" s="970"/>
      <c r="AA564" s="970"/>
      <c r="AB564" s="970"/>
      <c r="AC564" s="970"/>
      <c r="AD564" s="970"/>
      <c r="AE564" s="970"/>
      <c r="AF564" s="970"/>
      <c r="AG564" s="970"/>
      <c r="AH564" s="970"/>
      <c r="AI564" s="970"/>
      <c r="AJ564" s="970"/>
    </row>
    <row r="565" spans="1:36" s="971" customFormat="1">
      <c r="A565" s="999" t="s">
        <v>403</v>
      </c>
      <c r="B565" s="976"/>
      <c r="C565" s="1007">
        <v>0.14061399999999999</v>
      </c>
      <c r="D565" s="1008">
        <v>1</v>
      </c>
      <c r="E565" s="1007"/>
      <c r="F565" s="1007"/>
      <c r="G565" s="1007"/>
      <c r="H565" s="1007"/>
      <c r="I565" s="1007"/>
      <c r="J565" s="1007"/>
      <c r="K565" s="1007"/>
      <c r="L565" s="1007"/>
      <c r="M565" s="970"/>
      <c r="N565" s="970"/>
      <c r="O565" s="970"/>
      <c r="P565" s="970"/>
      <c r="Q565" s="970"/>
      <c r="R565" s="970"/>
      <c r="S565" s="970"/>
      <c r="T565" s="970"/>
      <c r="U565" s="970"/>
      <c r="V565" s="970"/>
      <c r="W565" s="970"/>
      <c r="X565" s="970"/>
      <c r="Y565" s="970"/>
      <c r="Z565" s="970"/>
      <c r="AA565" s="970"/>
      <c r="AB565" s="970"/>
      <c r="AC565" s="970"/>
      <c r="AD565" s="970"/>
      <c r="AE565" s="970"/>
      <c r="AF565" s="970"/>
      <c r="AG565" s="970"/>
      <c r="AH565" s="970"/>
      <c r="AI565" s="970"/>
      <c r="AJ565" s="970"/>
    </row>
    <row r="566" spans="1:36" s="971" customFormat="1">
      <c r="A566" s="999" t="s">
        <v>678</v>
      </c>
      <c r="B566" s="976"/>
      <c r="C566" s="1009">
        <v>159154573.19</v>
      </c>
      <c r="D566" s="1010">
        <v>0</v>
      </c>
      <c r="E566" s="1011"/>
      <c r="F566" s="985"/>
      <c r="G566" s="1011"/>
      <c r="H566" s="985"/>
      <c r="I566" s="1011"/>
      <c r="J566" s="1009"/>
      <c r="K566" s="985"/>
      <c r="L566" s="1011"/>
      <c r="M566" s="970"/>
      <c r="N566" s="970"/>
      <c r="O566" s="970"/>
      <c r="P566" s="970"/>
      <c r="Q566" s="970"/>
      <c r="R566" s="970"/>
      <c r="S566" s="970"/>
      <c r="T566" s="970"/>
      <c r="U566" s="970"/>
      <c r="V566" s="970"/>
      <c r="W566" s="970"/>
      <c r="X566" s="970"/>
      <c r="Y566" s="970"/>
      <c r="Z566" s="970"/>
      <c r="AA566" s="970"/>
      <c r="AB566" s="970"/>
      <c r="AC566" s="970"/>
      <c r="AD566" s="970"/>
      <c r="AE566" s="970"/>
      <c r="AF566" s="970"/>
      <c r="AG566" s="970"/>
      <c r="AH566" s="970"/>
      <c r="AI566" s="970"/>
      <c r="AJ566" s="970"/>
    </row>
    <row r="567" spans="1:36" s="971" customFormat="1">
      <c r="A567" s="999" t="s">
        <v>679</v>
      </c>
      <c r="B567" s="976"/>
      <c r="C567" s="1009">
        <v>146027638.20985916</v>
      </c>
      <c r="D567" s="1010">
        <v>500000000</v>
      </c>
      <c r="E567" s="1011"/>
      <c r="F567" s="985"/>
      <c r="G567" s="1011"/>
      <c r="H567" s="985"/>
      <c r="I567" s="1011"/>
      <c r="J567" s="1009"/>
      <c r="K567" s="985"/>
      <c r="L567" s="1011"/>
      <c r="M567" s="970"/>
      <c r="N567" s="970"/>
      <c r="O567" s="970"/>
      <c r="P567" s="970"/>
      <c r="Q567" s="970"/>
      <c r="R567" s="970"/>
      <c r="S567" s="970"/>
      <c r="T567" s="970"/>
      <c r="U567" s="970"/>
      <c r="V567" s="970"/>
      <c r="W567" s="970"/>
      <c r="X567" s="970"/>
      <c r="Y567" s="970"/>
      <c r="Z567" s="970"/>
      <c r="AA567" s="970"/>
      <c r="AB567" s="970"/>
      <c r="AC567" s="970"/>
      <c r="AD567" s="970"/>
      <c r="AE567" s="970"/>
      <c r="AF567" s="970"/>
      <c r="AG567" s="970"/>
      <c r="AH567" s="970"/>
      <c r="AI567" s="970"/>
      <c r="AJ567" s="970"/>
    </row>
    <row r="568" spans="1:36" s="971" customFormat="1">
      <c r="A568" s="999" t="s">
        <v>680</v>
      </c>
      <c r="B568" s="976"/>
      <c r="C568" s="1009">
        <v>0</v>
      </c>
      <c r="D568" s="1010">
        <v>0</v>
      </c>
      <c r="E568" s="1011"/>
      <c r="F568" s="985"/>
      <c r="G568" s="1011"/>
      <c r="H568" s="985"/>
      <c r="I568" s="1011"/>
      <c r="J568" s="1009"/>
      <c r="K568" s="985"/>
      <c r="L568" s="1011"/>
      <c r="M568" s="970"/>
      <c r="N568" s="970"/>
      <c r="O568" s="970"/>
      <c r="P568" s="970"/>
      <c r="Q568" s="970"/>
      <c r="R568" s="970"/>
      <c r="S568" s="970"/>
      <c r="T568" s="970"/>
      <c r="U568" s="970"/>
      <c r="V568" s="970"/>
      <c r="W568" s="970"/>
      <c r="X568" s="970"/>
      <c r="Y568" s="970"/>
      <c r="Z568" s="970"/>
      <c r="AA568" s="970"/>
      <c r="AB568" s="970"/>
      <c r="AC568" s="970"/>
      <c r="AD568" s="970"/>
      <c r="AE568" s="970"/>
      <c r="AF568" s="970"/>
      <c r="AG568" s="970"/>
      <c r="AH568" s="970"/>
      <c r="AI568" s="970"/>
      <c r="AJ568" s="970"/>
    </row>
    <row r="569" spans="1:36" s="971" customFormat="1">
      <c r="A569" s="999" t="s">
        <v>119</v>
      </c>
      <c r="B569" s="976"/>
      <c r="C569" s="1009">
        <v>0</v>
      </c>
      <c r="D569" s="1010">
        <v>0</v>
      </c>
      <c r="E569" s="1011"/>
      <c r="F569" s="985"/>
      <c r="G569" s="1011"/>
      <c r="H569" s="985"/>
      <c r="I569" s="1011"/>
      <c r="J569" s="1009"/>
      <c r="K569" s="985"/>
      <c r="L569" s="1011"/>
      <c r="M569" s="970"/>
      <c r="N569" s="970"/>
      <c r="O569" s="970"/>
      <c r="P569" s="970"/>
      <c r="Q569" s="970"/>
      <c r="R569" s="970"/>
      <c r="S569" s="970"/>
      <c r="T569" s="970"/>
      <c r="U569" s="970"/>
      <c r="V569" s="970"/>
      <c r="W569" s="970"/>
      <c r="X569" s="970"/>
      <c r="Y569" s="970"/>
      <c r="Z569" s="970"/>
      <c r="AA569" s="970"/>
      <c r="AB569" s="970"/>
      <c r="AC569" s="970"/>
      <c r="AD569" s="970"/>
      <c r="AE569" s="970"/>
      <c r="AF569" s="970"/>
      <c r="AG569" s="970"/>
      <c r="AH569" s="970"/>
      <c r="AI569" s="970"/>
      <c r="AJ569" s="970"/>
    </row>
    <row r="570" spans="1:36" s="971" customFormat="1">
      <c r="A570" s="999" t="s">
        <v>757</v>
      </c>
      <c r="B570" s="976"/>
      <c r="C570" s="982" t="s">
        <v>681</v>
      </c>
      <c r="D570" s="1000" t="s">
        <v>681</v>
      </c>
      <c r="E570" s="982"/>
      <c r="F570" s="982"/>
      <c r="G570" s="982"/>
      <c r="H570" s="982"/>
      <c r="I570" s="982"/>
      <c r="J570" s="982"/>
      <c r="K570" s="982"/>
      <c r="L570" s="982"/>
      <c r="M570" s="970"/>
      <c r="N570" s="970"/>
      <c r="O570" s="970"/>
      <c r="P570" s="970"/>
      <c r="Q570" s="970"/>
      <c r="R570" s="970"/>
      <c r="S570" s="970"/>
      <c r="T570" s="970"/>
      <c r="U570" s="970"/>
      <c r="V570" s="970"/>
      <c r="W570" s="970"/>
      <c r="X570" s="970"/>
      <c r="Y570" s="970"/>
      <c r="Z570" s="970"/>
      <c r="AA570" s="970"/>
      <c r="AB570" s="970"/>
      <c r="AC570" s="970"/>
      <c r="AD570" s="970"/>
      <c r="AE570" s="970"/>
      <c r="AF570" s="970"/>
      <c r="AG570" s="970"/>
      <c r="AH570" s="970"/>
      <c r="AI570" s="970"/>
      <c r="AJ570" s="970"/>
    </row>
    <row r="571" spans="1:36" s="971" customFormat="1">
      <c r="A571" s="999" t="s">
        <v>682</v>
      </c>
      <c r="B571" s="976"/>
      <c r="C571" s="1012" t="s">
        <v>683</v>
      </c>
      <c r="D571" s="1013" t="s">
        <v>685</v>
      </c>
      <c r="E571" s="1012"/>
      <c r="F571" s="1012"/>
      <c r="G571" s="1012"/>
      <c r="H571" s="1012"/>
      <c r="I571" s="1012"/>
      <c r="J571" s="1012"/>
      <c r="K571" s="1012"/>
      <c r="L571" s="1012"/>
      <c r="M571" s="970"/>
      <c r="N571" s="970"/>
      <c r="O571" s="970"/>
      <c r="P571" s="970"/>
      <c r="Q571" s="970"/>
      <c r="R571" s="970"/>
      <c r="S571" s="970"/>
      <c r="T571" s="970"/>
      <c r="U571" s="970"/>
      <c r="V571" s="970"/>
      <c r="W571" s="970"/>
      <c r="X571" s="970"/>
      <c r="Y571" s="970"/>
      <c r="Z571" s="970"/>
      <c r="AA571" s="970"/>
      <c r="AB571" s="970"/>
      <c r="AC571" s="970"/>
      <c r="AD571" s="970"/>
      <c r="AE571" s="970"/>
      <c r="AF571" s="970"/>
      <c r="AG571" s="970"/>
      <c r="AH571" s="970"/>
      <c r="AI571" s="970"/>
      <c r="AJ571" s="970"/>
    </row>
    <row r="572" spans="1:36" s="971" customFormat="1">
      <c r="A572" s="999" t="s">
        <v>686</v>
      </c>
      <c r="B572" s="976"/>
      <c r="C572" s="1014">
        <v>3.1150000000000001E-3</v>
      </c>
      <c r="D572" s="1015">
        <v>5.2313000000000004E-3</v>
      </c>
      <c r="E572" s="1014"/>
      <c r="F572" s="1014"/>
      <c r="G572" s="1014"/>
      <c r="H572" s="1014"/>
      <c r="I572" s="1014"/>
      <c r="J572" s="1014"/>
      <c r="K572" s="1014"/>
      <c r="L572" s="1014"/>
      <c r="M572" s="970"/>
      <c r="N572" s="970"/>
      <c r="O572" s="970"/>
      <c r="P572" s="970"/>
      <c r="Q572" s="970"/>
      <c r="R572" s="970"/>
      <c r="S572" s="970"/>
      <c r="T572" s="970"/>
      <c r="U572" s="970"/>
      <c r="V572" s="970"/>
      <c r="W572" s="970"/>
      <c r="X572" s="970"/>
      <c r="Y572" s="970"/>
      <c r="Z572" s="970"/>
      <c r="AA572" s="970"/>
      <c r="AB572" s="970"/>
      <c r="AC572" s="970"/>
      <c r="AD572" s="970"/>
      <c r="AE572" s="970"/>
      <c r="AF572" s="970"/>
      <c r="AG572" s="970"/>
      <c r="AH572" s="970"/>
      <c r="AI572" s="970"/>
      <c r="AJ572" s="970"/>
    </row>
    <row r="573" spans="1:36" s="971" customFormat="1">
      <c r="A573" s="999" t="s">
        <v>687</v>
      </c>
      <c r="B573" s="976"/>
      <c r="C573" s="1014">
        <v>1E-3</v>
      </c>
      <c r="D573" s="1015">
        <v>1.1000000000000001E-3</v>
      </c>
      <c r="E573" s="1014"/>
      <c r="F573" s="1014"/>
      <c r="G573" s="1014"/>
      <c r="H573" s="1014"/>
      <c r="I573" s="1014"/>
      <c r="J573" s="1014"/>
      <c r="K573" s="1014"/>
      <c r="L573" s="1014"/>
      <c r="M573" s="970"/>
      <c r="N573" s="970"/>
      <c r="O573" s="970"/>
      <c r="P573" s="970"/>
      <c r="Q573" s="970"/>
      <c r="R573" s="970"/>
      <c r="S573" s="970"/>
      <c r="T573" s="970"/>
      <c r="U573" s="970"/>
      <c r="V573" s="970"/>
      <c r="W573" s="970"/>
      <c r="X573" s="970"/>
      <c r="Y573" s="970"/>
      <c r="Z573" s="970"/>
      <c r="AA573" s="970"/>
      <c r="AB573" s="970"/>
      <c r="AC573" s="970"/>
      <c r="AD573" s="970"/>
      <c r="AE573" s="970"/>
      <c r="AF573" s="970"/>
      <c r="AG573" s="970"/>
      <c r="AH573" s="970"/>
      <c r="AI573" s="970"/>
      <c r="AJ573" s="970"/>
    </row>
    <row r="574" spans="1:36" s="971" customFormat="1">
      <c r="A574" s="999" t="s">
        <v>909</v>
      </c>
      <c r="B574" s="976"/>
      <c r="C574" s="987">
        <v>320933.00442170002</v>
      </c>
      <c r="D574" s="1003">
        <v>797917.26</v>
      </c>
      <c r="E574" s="986"/>
      <c r="F574" s="985"/>
      <c r="G574" s="986"/>
      <c r="H574" s="985"/>
      <c r="I574" s="986"/>
      <c r="J574" s="987"/>
      <c r="K574" s="985"/>
      <c r="L574" s="986"/>
      <c r="M574" s="970"/>
      <c r="N574" s="970"/>
      <c r="O574" s="970"/>
      <c r="P574" s="970"/>
      <c r="Q574" s="970"/>
      <c r="R574" s="970"/>
      <c r="S574" s="970"/>
      <c r="T574" s="970"/>
      <c r="U574" s="970"/>
      <c r="V574" s="970"/>
      <c r="W574" s="970"/>
      <c r="X574" s="970"/>
      <c r="Y574" s="970"/>
      <c r="Z574" s="970"/>
      <c r="AA574" s="970"/>
      <c r="AB574" s="970"/>
      <c r="AC574" s="970"/>
      <c r="AD574" s="970"/>
      <c r="AE574" s="970"/>
      <c r="AF574" s="970"/>
      <c r="AG574" s="970"/>
      <c r="AH574" s="970"/>
      <c r="AI574" s="970"/>
      <c r="AJ574" s="970"/>
    </row>
    <row r="575" spans="1:36" s="971" customFormat="1">
      <c r="A575" s="1016" t="s">
        <v>906</v>
      </c>
      <c r="B575" s="976"/>
      <c r="C575" s="987">
        <v>320933.00130162586</v>
      </c>
      <c r="D575" s="1003">
        <v>797917.26</v>
      </c>
      <c r="E575" s="986"/>
      <c r="F575" s="985"/>
      <c r="G575" s="986"/>
      <c r="H575" s="985"/>
      <c r="I575" s="986"/>
      <c r="J575" s="987"/>
      <c r="K575" s="985"/>
      <c r="L575" s="986"/>
      <c r="M575" s="970"/>
      <c r="N575" s="970"/>
      <c r="O575" s="970"/>
      <c r="P575" s="970"/>
      <c r="Q575" s="970"/>
      <c r="R575" s="970"/>
      <c r="S575" s="970"/>
      <c r="T575" s="970"/>
      <c r="U575" s="970"/>
      <c r="V575" s="970"/>
      <c r="W575" s="970"/>
      <c r="X575" s="970"/>
      <c r="Y575" s="970"/>
      <c r="Z575" s="970"/>
      <c r="AA575" s="970"/>
      <c r="AB575" s="970"/>
      <c r="AC575" s="970"/>
      <c r="AD575" s="970"/>
      <c r="AE575" s="970"/>
      <c r="AF575" s="970"/>
      <c r="AG575" s="970"/>
      <c r="AH575" s="970"/>
      <c r="AI575" s="970"/>
      <c r="AJ575" s="970"/>
    </row>
    <row r="576" spans="1:36" s="971" customFormat="1">
      <c r="A576" s="999" t="s">
        <v>688</v>
      </c>
      <c r="B576" s="976"/>
      <c r="C576" s="987">
        <v>0</v>
      </c>
      <c r="D576" s="1003">
        <v>0</v>
      </c>
      <c r="E576" s="986"/>
      <c r="F576" s="985"/>
      <c r="G576" s="986"/>
      <c r="H576" s="985"/>
      <c r="I576" s="986"/>
      <c r="J576" s="987"/>
      <c r="K576" s="985"/>
      <c r="L576" s="986"/>
      <c r="M576" s="970"/>
      <c r="N576" s="970"/>
      <c r="O576" s="970"/>
      <c r="P576" s="970"/>
      <c r="Q576" s="970"/>
      <c r="R576" s="970"/>
      <c r="S576" s="970"/>
      <c r="T576" s="970"/>
      <c r="U576" s="970"/>
      <c r="V576" s="970"/>
      <c r="W576" s="970"/>
      <c r="X576" s="970"/>
      <c r="Y576" s="970"/>
      <c r="Z576" s="970"/>
      <c r="AA576" s="970"/>
      <c r="AB576" s="970"/>
      <c r="AC576" s="970"/>
      <c r="AD576" s="970"/>
      <c r="AE576" s="970"/>
      <c r="AF576" s="970"/>
      <c r="AG576" s="970"/>
      <c r="AH576" s="970"/>
      <c r="AI576" s="970"/>
      <c r="AJ576" s="970"/>
    </row>
    <row r="577" spans="1:36" s="971" customFormat="1">
      <c r="A577" s="999" t="s">
        <v>708</v>
      </c>
      <c r="B577" s="976"/>
      <c r="C577" s="987">
        <v>0</v>
      </c>
      <c r="D577" s="1003">
        <v>0</v>
      </c>
      <c r="E577" s="986"/>
      <c r="F577" s="985"/>
      <c r="G577" s="986"/>
      <c r="H577" s="985"/>
      <c r="I577" s="986"/>
      <c r="J577" s="987"/>
      <c r="K577" s="985"/>
      <c r="L577" s="986"/>
      <c r="M577" s="970"/>
      <c r="N577" s="970"/>
      <c r="O577" s="970"/>
      <c r="P577" s="970"/>
      <c r="Q577" s="970"/>
      <c r="R577" s="970"/>
      <c r="S577" s="970"/>
      <c r="T577" s="970"/>
      <c r="U577" s="970"/>
      <c r="V577" s="970"/>
      <c r="W577" s="970"/>
      <c r="X577" s="970"/>
      <c r="Y577" s="970"/>
      <c r="Z577" s="970"/>
      <c r="AA577" s="970"/>
      <c r="AB577" s="970"/>
      <c r="AC577" s="970"/>
      <c r="AD577" s="970"/>
      <c r="AE577" s="970"/>
      <c r="AF577" s="970"/>
      <c r="AG577" s="970"/>
      <c r="AH577" s="970"/>
      <c r="AI577" s="970"/>
      <c r="AJ577" s="970"/>
    </row>
    <row r="578" spans="1:36" s="971" customFormat="1">
      <c r="A578" s="999" t="s">
        <v>961</v>
      </c>
      <c r="B578" s="976"/>
      <c r="C578" s="1017">
        <v>5.86</v>
      </c>
      <c r="D578" s="1018">
        <v>6.53</v>
      </c>
      <c r="E578" s="1017"/>
      <c r="F578" s="980"/>
      <c r="G578" s="980"/>
      <c r="H578" s="980"/>
      <c r="I578" s="980"/>
      <c r="J578" s="980"/>
      <c r="K578" s="980"/>
      <c r="L578" s="980"/>
      <c r="M578" s="970"/>
      <c r="N578" s="970"/>
      <c r="O578" s="970"/>
      <c r="P578" s="970"/>
      <c r="Q578" s="970"/>
      <c r="R578" s="970"/>
      <c r="S578" s="970"/>
      <c r="T578" s="970"/>
      <c r="U578" s="970"/>
      <c r="V578" s="970"/>
      <c r="W578" s="970"/>
      <c r="X578" s="970"/>
      <c r="Y578" s="970"/>
      <c r="Z578" s="970"/>
      <c r="AA578" s="970"/>
      <c r="AB578" s="970"/>
      <c r="AC578" s="970"/>
      <c r="AD578" s="970"/>
      <c r="AE578" s="970"/>
      <c r="AF578" s="970"/>
      <c r="AG578" s="970"/>
      <c r="AH578" s="970"/>
      <c r="AI578" s="970"/>
      <c r="AJ578" s="970"/>
    </row>
    <row r="579" spans="1:36" s="971" customFormat="1">
      <c r="A579" s="999" t="s">
        <v>690</v>
      </c>
      <c r="B579" s="976"/>
      <c r="C579" s="1001">
        <v>41414</v>
      </c>
      <c r="D579" s="1019">
        <v>41414</v>
      </c>
      <c r="E579" s="988"/>
      <c r="F579" s="988"/>
      <c r="G579" s="988"/>
      <c r="H579" s="988"/>
      <c r="I579" s="988"/>
      <c r="J579" s="988"/>
      <c r="K579" s="988"/>
      <c r="L579" s="988"/>
      <c r="M579" s="970"/>
      <c r="N579" s="970"/>
      <c r="O579" s="970"/>
      <c r="P579" s="970"/>
      <c r="Q579" s="970"/>
      <c r="R579" s="970"/>
      <c r="S579" s="970"/>
      <c r="T579" s="970"/>
      <c r="U579" s="970"/>
      <c r="V579" s="970"/>
      <c r="W579" s="970"/>
      <c r="X579" s="970"/>
      <c r="Y579" s="970"/>
      <c r="Z579" s="970"/>
      <c r="AA579" s="970"/>
      <c r="AB579" s="970"/>
      <c r="AC579" s="970"/>
      <c r="AD579" s="970"/>
      <c r="AE579" s="970"/>
      <c r="AF579" s="970"/>
      <c r="AG579" s="970"/>
      <c r="AH579" s="970"/>
      <c r="AI579" s="970"/>
      <c r="AJ579" s="970"/>
    </row>
    <row r="580" spans="1:36" s="971" customFormat="1">
      <c r="A580" s="999" t="s">
        <v>691</v>
      </c>
      <c r="B580" s="976"/>
      <c r="C580" s="988">
        <v>41414</v>
      </c>
      <c r="D580" s="1019">
        <v>41414</v>
      </c>
      <c r="E580" s="988"/>
      <c r="F580" s="988"/>
      <c r="G580" s="988"/>
      <c r="H580" s="988"/>
      <c r="I580" s="988"/>
      <c r="J580" s="988"/>
      <c r="K580" s="988"/>
      <c r="L580" s="988"/>
      <c r="M580" s="970"/>
      <c r="N580" s="970"/>
      <c r="O580" s="970"/>
      <c r="P580" s="970"/>
      <c r="Q580" s="970"/>
      <c r="R580" s="970"/>
      <c r="S580" s="970"/>
      <c r="T580" s="970"/>
      <c r="U580" s="970"/>
      <c r="V580" s="970"/>
      <c r="W580" s="970"/>
      <c r="X580" s="970"/>
      <c r="Y580" s="970"/>
      <c r="Z580" s="970"/>
      <c r="AA580" s="970"/>
      <c r="AB580" s="970"/>
      <c r="AC580" s="970"/>
      <c r="AD580" s="970"/>
      <c r="AE580" s="970"/>
      <c r="AF580" s="970"/>
      <c r="AG580" s="970"/>
      <c r="AH580" s="970"/>
      <c r="AI580" s="970"/>
      <c r="AJ580" s="970"/>
    </row>
    <row r="581" spans="1:36" s="971" customFormat="1">
      <c r="A581" s="999" t="s">
        <v>692</v>
      </c>
      <c r="B581" s="976"/>
      <c r="C581" s="988">
        <v>57304</v>
      </c>
      <c r="D581" s="1019">
        <v>57304</v>
      </c>
      <c r="E581" s="988"/>
      <c r="F581" s="988"/>
      <c r="G581" s="988"/>
      <c r="H581" s="988"/>
      <c r="I581" s="988"/>
      <c r="J581" s="988"/>
      <c r="K581" s="988"/>
      <c r="L581" s="988"/>
      <c r="M581" s="970"/>
      <c r="N581" s="970"/>
      <c r="O581" s="970"/>
      <c r="P581" s="970"/>
      <c r="Q581" s="970"/>
      <c r="R581" s="970"/>
      <c r="S581" s="970"/>
      <c r="T581" s="970"/>
      <c r="U581" s="970"/>
      <c r="V581" s="970"/>
      <c r="W581" s="970"/>
      <c r="X581" s="970"/>
      <c r="Y581" s="970"/>
      <c r="Z581" s="970"/>
      <c r="AA581" s="970"/>
      <c r="AB581" s="970"/>
      <c r="AC581" s="970"/>
      <c r="AD581" s="970"/>
      <c r="AE581" s="970"/>
      <c r="AF581" s="970"/>
      <c r="AG581" s="970"/>
      <c r="AH581" s="970"/>
      <c r="AI581" s="970"/>
      <c r="AJ581" s="970"/>
    </row>
    <row r="582" spans="1:36" s="971" customFormat="1">
      <c r="A582" s="999" t="s">
        <v>214</v>
      </c>
      <c r="B582" s="976"/>
      <c r="C582" s="988" t="s">
        <v>561</v>
      </c>
      <c r="D582" s="1019" t="s">
        <v>561</v>
      </c>
      <c r="E582" s="988"/>
      <c r="F582" s="988"/>
      <c r="G582" s="988"/>
      <c r="H582" s="988"/>
      <c r="I582" s="988"/>
      <c r="J582" s="988"/>
      <c r="K582" s="988"/>
      <c r="L582" s="988"/>
      <c r="M582" s="970"/>
      <c r="N582" s="970"/>
      <c r="O582" s="970"/>
      <c r="P582" s="970"/>
      <c r="Q582" s="970"/>
      <c r="R582" s="970"/>
      <c r="S582" s="970"/>
      <c r="T582" s="970"/>
      <c r="U582" s="970"/>
      <c r="V582" s="970"/>
      <c r="W582" s="970"/>
      <c r="X582" s="970"/>
      <c r="Y582" s="970"/>
      <c r="Z582" s="970"/>
      <c r="AA582" s="970"/>
      <c r="AB582" s="970"/>
      <c r="AC582" s="970"/>
      <c r="AD582" s="970"/>
      <c r="AE582" s="970"/>
      <c r="AF582" s="970"/>
      <c r="AG582" s="970"/>
      <c r="AH582" s="970"/>
      <c r="AI582" s="970"/>
      <c r="AJ582" s="970"/>
    </row>
    <row r="583" spans="1:36" s="971" customFormat="1">
      <c r="A583" s="999"/>
      <c r="B583" s="976"/>
      <c r="C583" s="988"/>
      <c r="D583" s="1020"/>
      <c r="E583" s="988"/>
      <c r="F583" s="988"/>
      <c r="G583" s="988"/>
      <c r="H583" s="988"/>
      <c r="I583" s="988"/>
      <c r="J583" s="988"/>
      <c r="K583" s="988"/>
      <c r="L583" s="988"/>
      <c r="M583" s="970"/>
      <c r="N583" s="970"/>
      <c r="O583" s="970"/>
      <c r="P583" s="970"/>
      <c r="Q583" s="970"/>
      <c r="R583" s="970"/>
      <c r="S583" s="970"/>
      <c r="T583" s="970"/>
      <c r="U583" s="970"/>
      <c r="V583" s="970"/>
      <c r="W583" s="970"/>
      <c r="X583" s="970"/>
      <c r="Y583" s="970"/>
      <c r="Z583" s="970"/>
      <c r="AA583" s="970"/>
      <c r="AB583" s="970"/>
      <c r="AC583" s="970"/>
      <c r="AD583" s="970"/>
      <c r="AE583" s="970"/>
      <c r="AF583" s="970"/>
      <c r="AG583" s="970"/>
      <c r="AH583" s="970"/>
      <c r="AI583" s="970"/>
      <c r="AJ583" s="970"/>
    </row>
    <row r="584" spans="1:36" s="971" customFormat="1">
      <c r="A584" s="1021" t="s">
        <v>369</v>
      </c>
      <c r="B584" s="990"/>
      <c r="C584" s="1022"/>
      <c r="D584" s="1023"/>
      <c r="E584" s="980"/>
      <c r="F584" s="1024"/>
      <c r="G584" s="1024"/>
      <c r="H584" s="982"/>
      <c r="I584" s="982"/>
      <c r="J584" s="980"/>
      <c r="K584" s="982"/>
      <c r="L584" s="970"/>
      <c r="M584" s="970"/>
      <c r="N584" s="970"/>
      <c r="O584" s="970"/>
      <c r="P584" s="970"/>
      <c r="Q584" s="970"/>
      <c r="R584" s="970"/>
      <c r="S584" s="970"/>
      <c r="T584" s="970"/>
      <c r="U584" s="970"/>
      <c r="V584" s="970"/>
      <c r="W584" s="970"/>
      <c r="X584" s="970"/>
      <c r="Y584" s="970"/>
      <c r="Z584" s="970"/>
      <c r="AA584" s="970"/>
      <c r="AB584" s="970"/>
      <c r="AC584" s="970"/>
      <c r="AD584" s="970"/>
      <c r="AE584" s="970"/>
      <c r="AF584" s="970"/>
      <c r="AG584" s="970"/>
      <c r="AH584" s="970"/>
      <c r="AI584" s="970"/>
      <c r="AJ584" s="970"/>
    </row>
    <row r="585" spans="1:36" s="971" customFormat="1">
      <c r="A585" s="1025" t="s">
        <v>1044</v>
      </c>
      <c r="B585" s="976"/>
      <c r="C585" s="982"/>
      <c r="D585" s="1026"/>
      <c r="E585" s="980"/>
      <c r="F585" s="1024"/>
      <c r="G585" s="1024"/>
      <c r="H585" s="982"/>
      <c r="I585" s="982"/>
      <c r="J585" s="980"/>
      <c r="K585" s="982"/>
      <c r="L585" s="980"/>
      <c r="M585" s="970"/>
      <c r="N585" s="970"/>
      <c r="O585" s="970"/>
      <c r="P585" s="970"/>
      <c r="Q585" s="970"/>
      <c r="R585" s="970"/>
      <c r="S585" s="970"/>
      <c r="T585" s="970"/>
      <c r="U585" s="970"/>
      <c r="V585" s="970"/>
      <c r="W585" s="970"/>
      <c r="X585" s="970"/>
      <c r="Y585" s="970"/>
      <c r="Z585" s="970"/>
      <c r="AA585" s="970"/>
      <c r="AB585" s="970"/>
      <c r="AC585" s="970"/>
      <c r="AD585" s="970"/>
      <c r="AE585" s="970"/>
      <c r="AF585" s="970"/>
      <c r="AG585" s="970"/>
      <c r="AH585" s="970"/>
      <c r="AI585" s="970"/>
      <c r="AJ585" s="970"/>
    </row>
    <row r="586" spans="1:36" s="971" customFormat="1">
      <c r="A586" s="1016" t="s">
        <v>370</v>
      </c>
      <c r="B586" s="976"/>
      <c r="C586" s="980" t="s">
        <v>174</v>
      </c>
      <c r="D586" s="1026" t="s">
        <v>622</v>
      </c>
      <c r="E586" s="980"/>
      <c r="F586" s="980"/>
      <c r="G586" s="980"/>
      <c r="H586" s="980"/>
      <c r="I586" s="980"/>
      <c r="J586" s="980"/>
      <c r="K586" s="980"/>
      <c r="L586" s="980"/>
      <c r="M586" s="970"/>
      <c r="N586" s="970"/>
      <c r="O586" s="970"/>
      <c r="P586" s="970"/>
      <c r="Q586" s="970"/>
      <c r="R586" s="970"/>
      <c r="S586" s="970"/>
      <c r="T586" s="970"/>
      <c r="U586" s="970"/>
      <c r="V586" s="970"/>
      <c r="W586" s="970"/>
      <c r="X586" s="970"/>
      <c r="Y586" s="970"/>
      <c r="Z586" s="970"/>
      <c r="AA586" s="970"/>
      <c r="AB586" s="970"/>
      <c r="AC586" s="970"/>
      <c r="AD586" s="970"/>
      <c r="AE586" s="970"/>
      <c r="AF586" s="970"/>
      <c r="AG586" s="970"/>
      <c r="AH586" s="970"/>
      <c r="AI586" s="970"/>
      <c r="AJ586" s="970"/>
    </row>
    <row r="587" spans="1:36" s="971" customFormat="1">
      <c r="A587" s="1025"/>
      <c r="B587" s="976"/>
      <c r="C587" s="982"/>
      <c r="D587" s="1026"/>
      <c r="E587" s="980"/>
      <c r="F587" s="1024"/>
      <c r="G587" s="980"/>
      <c r="H587" s="982"/>
      <c r="I587" s="980"/>
      <c r="J587" s="980"/>
      <c r="K587" s="982"/>
      <c r="L587" s="980"/>
      <c r="M587" s="970"/>
      <c r="N587" s="970"/>
      <c r="O587" s="970"/>
      <c r="P587" s="970"/>
      <c r="Q587" s="970"/>
      <c r="R587" s="970"/>
      <c r="S587" s="970"/>
      <c r="T587" s="970"/>
      <c r="U587" s="970"/>
      <c r="V587" s="970"/>
      <c r="W587" s="970"/>
      <c r="X587" s="970"/>
      <c r="Y587" s="970"/>
      <c r="Z587" s="970"/>
      <c r="AA587" s="970"/>
      <c r="AB587" s="970"/>
      <c r="AC587" s="970"/>
      <c r="AD587" s="970"/>
      <c r="AE587" s="970"/>
      <c r="AF587" s="970"/>
      <c r="AG587" s="970"/>
      <c r="AH587" s="970"/>
      <c r="AI587" s="970"/>
      <c r="AJ587" s="970"/>
    </row>
    <row r="588" spans="1:36" s="971" customFormat="1">
      <c r="A588" s="1027" t="s">
        <v>209</v>
      </c>
      <c r="B588" s="976"/>
      <c r="C588" s="982"/>
      <c r="D588" s="1026"/>
      <c r="E588" s="980"/>
      <c r="F588" s="1024"/>
      <c r="G588" s="980"/>
      <c r="H588" s="982"/>
      <c r="I588" s="980"/>
      <c r="J588" s="980"/>
      <c r="K588" s="982"/>
      <c r="L588" s="986"/>
      <c r="M588" s="970"/>
      <c r="N588" s="970"/>
      <c r="O588" s="970"/>
      <c r="P588" s="970"/>
      <c r="Q588" s="970"/>
      <c r="R588" s="970"/>
      <c r="S588" s="970"/>
      <c r="T588" s="970"/>
      <c r="U588" s="970"/>
      <c r="V588" s="970"/>
      <c r="W588" s="970"/>
      <c r="X588" s="970"/>
      <c r="Y588" s="970"/>
      <c r="Z588" s="970"/>
      <c r="AA588" s="970"/>
      <c r="AB588" s="970"/>
      <c r="AC588" s="970"/>
      <c r="AD588" s="970"/>
      <c r="AE588" s="970"/>
      <c r="AF588" s="970"/>
      <c r="AG588" s="970"/>
      <c r="AH588" s="970"/>
      <c r="AI588" s="970"/>
      <c r="AJ588" s="970"/>
    </row>
    <row r="589" spans="1:36" s="971" customFormat="1">
      <c r="A589" s="999" t="s">
        <v>374</v>
      </c>
      <c r="B589" s="976"/>
      <c r="C589" s="986">
        <v>160884712.63999999</v>
      </c>
      <c r="D589" s="1003" t="s">
        <v>622</v>
      </c>
      <c r="E589" s="986"/>
      <c r="F589" s="986"/>
      <c r="G589" s="986"/>
      <c r="H589" s="986"/>
      <c r="I589" s="986"/>
      <c r="J589" s="986"/>
      <c r="K589" s="986"/>
      <c r="L589" s="986"/>
      <c r="M589" s="970"/>
      <c r="N589" s="970"/>
      <c r="O589" s="970"/>
      <c r="P589" s="970"/>
      <c r="Q589" s="970"/>
      <c r="R589" s="970"/>
      <c r="S589" s="970"/>
      <c r="T589" s="970"/>
      <c r="U589" s="970"/>
      <c r="V589" s="970"/>
      <c r="W589" s="970"/>
      <c r="X589" s="970"/>
      <c r="Y589" s="970"/>
      <c r="Z589" s="970"/>
      <c r="AA589" s="970"/>
      <c r="AB589" s="970"/>
      <c r="AC589" s="970"/>
      <c r="AD589" s="970"/>
      <c r="AE589" s="970"/>
      <c r="AF589" s="970"/>
      <c r="AG589" s="970"/>
      <c r="AH589" s="970"/>
      <c r="AI589" s="970"/>
      <c r="AJ589" s="970"/>
    </row>
    <row r="590" spans="1:36" s="971" customFormat="1">
      <c r="A590" s="999" t="s">
        <v>907</v>
      </c>
      <c r="B590" s="976"/>
      <c r="C590" s="986">
        <v>83902458.32147187</v>
      </c>
      <c r="D590" s="1003" t="s">
        <v>622</v>
      </c>
      <c r="E590" s="986"/>
      <c r="F590" s="986"/>
      <c r="G590" s="986"/>
      <c r="H590" s="986"/>
      <c r="I590" s="986"/>
      <c r="J590" s="986"/>
      <c r="K590" s="986"/>
      <c r="L590" s="1012"/>
      <c r="M590" s="970"/>
      <c r="N590" s="970"/>
      <c r="O590" s="970"/>
      <c r="P590" s="970"/>
      <c r="Q590" s="970"/>
      <c r="R590" s="970"/>
      <c r="S590" s="970"/>
      <c r="T590" s="970"/>
      <c r="U590" s="970"/>
      <c r="V590" s="970"/>
      <c r="W590" s="970"/>
      <c r="X590" s="970"/>
      <c r="Y590" s="970"/>
      <c r="Z590" s="970"/>
      <c r="AA590" s="970"/>
      <c r="AB590" s="970"/>
      <c r="AC590" s="970"/>
      <c r="AD590" s="970"/>
      <c r="AE590" s="970"/>
      <c r="AF590" s="970"/>
      <c r="AG590" s="970"/>
      <c r="AH590" s="970"/>
      <c r="AI590" s="970"/>
      <c r="AJ590" s="970"/>
    </row>
    <row r="591" spans="1:36" s="971" customFormat="1" ht="14.25" customHeight="1">
      <c r="A591" s="1016" t="s">
        <v>371</v>
      </c>
      <c r="B591" s="976"/>
      <c r="C591" s="1012" t="s">
        <v>685</v>
      </c>
      <c r="D591" s="1013" t="s">
        <v>622</v>
      </c>
      <c r="E591" s="1012"/>
      <c r="F591" s="1012"/>
      <c r="G591" s="1012"/>
      <c r="H591" s="1012"/>
      <c r="I591" s="1012"/>
      <c r="J591" s="1012"/>
      <c r="K591" s="1012"/>
      <c r="L591" s="1014"/>
      <c r="M591" s="970"/>
      <c r="N591" s="970"/>
      <c r="O591" s="970"/>
      <c r="P591" s="970"/>
      <c r="Q591" s="970"/>
      <c r="R591" s="970"/>
      <c r="S591" s="970"/>
      <c r="T591" s="970"/>
      <c r="U591" s="970"/>
      <c r="V591" s="970"/>
      <c r="W591" s="970"/>
      <c r="X591" s="970"/>
      <c r="Y591" s="970"/>
      <c r="Z591" s="970"/>
      <c r="AA591" s="970"/>
      <c r="AB591" s="970"/>
      <c r="AC591" s="970"/>
      <c r="AD591" s="970"/>
      <c r="AE591" s="970"/>
      <c r="AF591" s="970"/>
      <c r="AG591" s="970"/>
      <c r="AH591" s="970"/>
      <c r="AI591" s="970"/>
      <c r="AJ591" s="970"/>
    </row>
    <row r="592" spans="1:36" s="971" customFormat="1">
      <c r="A592" s="1028" t="s">
        <v>687</v>
      </c>
      <c r="B592" s="976"/>
      <c r="C592" s="1014">
        <v>1.4519999999999999E-3</v>
      </c>
      <c r="D592" s="1015" t="s">
        <v>622</v>
      </c>
      <c r="E592" s="1014"/>
      <c r="F592" s="1014"/>
      <c r="G592" s="1014"/>
      <c r="H592" s="1014"/>
      <c r="I592" s="1014"/>
      <c r="J592" s="1014"/>
      <c r="K592" s="1014"/>
      <c r="L592" s="986"/>
      <c r="M592" s="970"/>
      <c r="N592" s="970"/>
      <c r="O592" s="970"/>
      <c r="P592" s="970"/>
      <c r="Q592" s="970"/>
      <c r="R592" s="970"/>
      <c r="S592" s="970"/>
      <c r="T592" s="970"/>
      <c r="U592" s="970"/>
      <c r="V592" s="970"/>
      <c r="W592" s="970"/>
      <c r="X592" s="970"/>
      <c r="Y592" s="970"/>
      <c r="Z592" s="970"/>
      <c r="AA592" s="970"/>
      <c r="AB592" s="970"/>
      <c r="AC592" s="970"/>
      <c r="AD592" s="970"/>
      <c r="AE592" s="970"/>
      <c r="AF592" s="970"/>
      <c r="AG592" s="970"/>
      <c r="AH592" s="970"/>
      <c r="AI592" s="970"/>
      <c r="AJ592" s="970"/>
    </row>
    <row r="593" spans="1:36" s="971" customFormat="1">
      <c r="A593" s="999" t="s">
        <v>906</v>
      </c>
      <c r="B593" s="976"/>
      <c r="C593" s="986">
        <v>271019.5989008107</v>
      </c>
      <c r="D593" s="1003" t="s">
        <v>622</v>
      </c>
      <c r="E593" s="986"/>
      <c r="F593" s="986"/>
      <c r="G593" s="986"/>
      <c r="H593" s="986"/>
      <c r="I593" s="986"/>
      <c r="J593" s="986"/>
      <c r="K593" s="986"/>
      <c r="L593" s="986"/>
      <c r="M593" s="970"/>
      <c r="N593" s="970"/>
      <c r="O593" s="970"/>
      <c r="P593" s="970"/>
      <c r="Q593" s="970"/>
      <c r="R593" s="970"/>
      <c r="S593" s="970"/>
      <c r="T593" s="970"/>
      <c r="U593" s="970"/>
      <c r="V593" s="970"/>
      <c r="W593" s="970"/>
      <c r="X593" s="970"/>
      <c r="Y593" s="970"/>
      <c r="Z593" s="970"/>
      <c r="AA593" s="970"/>
      <c r="AB593" s="970"/>
      <c r="AC593" s="970"/>
      <c r="AD593" s="970"/>
      <c r="AE593" s="970"/>
      <c r="AF593" s="970"/>
      <c r="AG593" s="970"/>
      <c r="AH593" s="970"/>
      <c r="AI593" s="970"/>
      <c r="AJ593" s="970"/>
    </row>
    <row r="594" spans="1:36" s="971" customFormat="1">
      <c r="A594" s="999"/>
      <c r="B594" s="976"/>
      <c r="C594" s="986"/>
      <c r="D594" s="1003"/>
      <c r="E594" s="986"/>
      <c r="F594" s="986"/>
      <c r="G594" s="986"/>
      <c r="H594" s="986"/>
      <c r="I594" s="986"/>
      <c r="J594" s="986"/>
      <c r="K594" s="986"/>
      <c r="L594" s="986"/>
      <c r="M594" s="970"/>
      <c r="N594" s="970"/>
      <c r="O594" s="970"/>
      <c r="P594" s="970"/>
      <c r="Q594" s="970"/>
      <c r="R594" s="970"/>
      <c r="S594" s="970"/>
      <c r="T594" s="970"/>
      <c r="U594" s="970"/>
      <c r="V594" s="970"/>
      <c r="W594" s="970"/>
      <c r="X594" s="970"/>
      <c r="Y594" s="970"/>
      <c r="Z594" s="970"/>
      <c r="AA594" s="970"/>
      <c r="AB594" s="970"/>
      <c r="AC594" s="970"/>
      <c r="AD594" s="970"/>
      <c r="AE594" s="970"/>
      <c r="AF594" s="970"/>
      <c r="AG594" s="970"/>
      <c r="AH594" s="970"/>
      <c r="AI594" s="970"/>
      <c r="AJ594" s="970"/>
    </row>
    <row r="595" spans="1:36" s="971" customFormat="1">
      <c r="A595" s="1027" t="s">
        <v>1046</v>
      </c>
      <c r="B595" s="976"/>
      <c r="C595" s="986"/>
      <c r="D595" s="1003"/>
      <c r="E595" s="986"/>
      <c r="F595" s="986"/>
      <c r="G595" s="986"/>
      <c r="H595" s="986"/>
      <c r="I595" s="986"/>
      <c r="J595" s="986"/>
      <c r="K595" s="986"/>
      <c r="L595" s="1005"/>
      <c r="M595" s="970"/>
      <c r="N595" s="970"/>
      <c r="O595" s="970"/>
      <c r="P595" s="970"/>
      <c r="Q595" s="970"/>
      <c r="R595" s="970"/>
      <c r="S595" s="970"/>
      <c r="T595" s="970"/>
      <c r="U595" s="970"/>
      <c r="V595" s="970"/>
      <c r="W595" s="970"/>
      <c r="X595" s="970"/>
      <c r="Y595" s="970"/>
      <c r="Z595" s="970"/>
      <c r="AA595" s="970"/>
      <c r="AB595" s="970"/>
      <c r="AC595" s="970"/>
      <c r="AD595" s="970"/>
      <c r="AE595" s="970"/>
      <c r="AF595" s="970"/>
      <c r="AG595" s="970"/>
      <c r="AH595" s="970"/>
      <c r="AI595" s="970"/>
      <c r="AJ595" s="970"/>
    </row>
    <row r="596" spans="1:36" s="971" customFormat="1">
      <c r="A596" s="999" t="s">
        <v>375</v>
      </c>
      <c r="B596" s="976"/>
      <c r="C596" s="987">
        <v>305182211.39999998</v>
      </c>
      <c r="D596" s="1004" t="s">
        <v>622</v>
      </c>
      <c r="E596" s="1005"/>
      <c r="F596" s="985"/>
      <c r="G596" s="1005"/>
      <c r="H596" s="985"/>
      <c r="I596" s="1005"/>
      <c r="J596" s="987"/>
      <c r="K596" s="985"/>
      <c r="L596" s="1005"/>
      <c r="M596" s="970"/>
      <c r="N596" s="970"/>
      <c r="O596" s="970"/>
      <c r="P596" s="970"/>
      <c r="Q596" s="970"/>
      <c r="R596" s="970"/>
      <c r="S596" s="970"/>
      <c r="T596" s="970"/>
      <c r="U596" s="970"/>
      <c r="V596" s="970"/>
      <c r="W596" s="970"/>
      <c r="X596" s="970"/>
      <c r="Y596" s="970"/>
      <c r="Z596" s="970"/>
      <c r="AA596" s="970"/>
      <c r="AB596" s="970"/>
      <c r="AC596" s="970"/>
      <c r="AD596" s="970"/>
      <c r="AE596" s="970"/>
      <c r="AF596" s="970"/>
      <c r="AG596" s="970"/>
      <c r="AH596" s="970"/>
      <c r="AI596" s="970"/>
      <c r="AJ596" s="970"/>
    </row>
    <row r="597" spans="1:36" s="971" customFormat="1">
      <c r="A597" s="1016" t="s">
        <v>373</v>
      </c>
      <c r="B597" s="976"/>
      <c r="C597" s="987">
        <v>159154573.19</v>
      </c>
      <c r="D597" s="1004" t="s">
        <v>622</v>
      </c>
      <c r="E597" s="1005"/>
      <c r="F597" s="1006"/>
      <c r="G597" s="1005"/>
      <c r="H597" s="985"/>
      <c r="I597" s="1005"/>
      <c r="J597" s="987"/>
      <c r="K597" s="985"/>
      <c r="L597" s="985"/>
      <c r="M597" s="970"/>
      <c r="N597" s="970"/>
      <c r="O597" s="970"/>
      <c r="P597" s="970"/>
      <c r="Q597" s="970"/>
      <c r="R597" s="970"/>
      <c r="S597" s="970"/>
      <c r="T597" s="970"/>
      <c r="U597" s="970"/>
      <c r="V597" s="970"/>
      <c r="W597" s="970"/>
      <c r="X597" s="970"/>
      <c r="Y597" s="970"/>
      <c r="Z597" s="970"/>
      <c r="AA597" s="970"/>
      <c r="AB597" s="970"/>
      <c r="AC597" s="970"/>
      <c r="AD597" s="970"/>
      <c r="AE597" s="970"/>
      <c r="AF597" s="970"/>
      <c r="AG597" s="970"/>
      <c r="AH597" s="970"/>
      <c r="AI597" s="970"/>
      <c r="AJ597" s="970"/>
    </row>
    <row r="598" spans="1:36" s="971" customFormat="1">
      <c r="A598" s="1016" t="s">
        <v>371</v>
      </c>
      <c r="B598" s="976"/>
      <c r="C598" s="985" t="s">
        <v>683</v>
      </c>
      <c r="D598" s="1029" t="s">
        <v>622</v>
      </c>
      <c r="E598" s="985"/>
      <c r="F598" s="985"/>
      <c r="G598" s="985"/>
      <c r="H598" s="985"/>
      <c r="I598" s="985"/>
      <c r="J598" s="985"/>
      <c r="K598" s="985"/>
      <c r="L598" s="1014"/>
      <c r="M598" s="970"/>
      <c r="N598" s="970"/>
      <c r="O598" s="970"/>
      <c r="P598" s="970"/>
      <c r="Q598" s="970"/>
      <c r="R598" s="970"/>
      <c r="S598" s="970"/>
      <c r="T598" s="970"/>
      <c r="U598" s="970"/>
      <c r="V598" s="970"/>
      <c r="W598" s="970"/>
      <c r="X598" s="970"/>
      <c r="Y598" s="970"/>
      <c r="Z598" s="970"/>
      <c r="AA598" s="970"/>
      <c r="AB598" s="970"/>
      <c r="AC598" s="970"/>
      <c r="AD598" s="970"/>
      <c r="AE598" s="970"/>
      <c r="AF598" s="970"/>
      <c r="AG598" s="970"/>
      <c r="AH598" s="970"/>
      <c r="AI598" s="970"/>
      <c r="AJ598" s="970"/>
    </row>
    <row r="599" spans="1:36" s="971" customFormat="1">
      <c r="A599" s="999" t="s">
        <v>687</v>
      </c>
      <c r="B599" s="976"/>
      <c r="C599" s="1014">
        <v>1E-3</v>
      </c>
      <c r="D599" s="1015" t="s">
        <v>622</v>
      </c>
      <c r="E599" s="1014"/>
      <c r="F599" s="1014"/>
      <c r="G599" s="1014"/>
      <c r="H599" s="1014"/>
      <c r="I599" s="1014"/>
      <c r="J599" s="1014"/>
      <c r="K599" s="1014"/>
      <c r="L599" s="986"/>
      <c r="M599" s="970"/>
      <c r="N599" s="970"/>
      <c r="O599" s="970"/>
      <c r="P599" s="970"/>
      <c r="Q599" s="970"/>
      <c r="R599" s="970"/>
      <c r="S599" s="970"/>
      <c r="T599" s="970"/>
      <c r="U599" s="970"/>
      <c r="V599" s="970"/>
      <c r="W599" s="970"/>
      <c r="X599" s="970"/>
      <c r="Y599" s="970"/>
      <c r="Z599" s="970"/>
      <c r="AA599" s="970"/>
      <c r="AB599" s="970"/>
      <c r="AC599" s="970"/>
      <c r="AD599" s="970"/>
      <c r="AE599" s="970"/>
      <c r="AF599" s="970"/>
      <c r="AG599" s="970"/>
      <c r="AH599" s="970"/>
      <c r="AI599" s="970"/>
      <c r="AJ599" s="970"/>
    </row>
    <row r="600" spans="1:36" s="971" customFormat="1">
      <c r="A600" s="1016" t="s">
        <v>372</v>
      </c>
      <c r="B600" s="976"/>
      <c r="C600" s="987">
        <v>320933.00130162586</v>
      </c>
      <c r="D600" s="1003" t="s">
        <v>622</v>
      </c>
      <c r="E600" s="986"/>
      <c r="F600" s="985"/>
      <c r="G600" s="986"/>
      <c r="H600" s="985"/>
      <c r="I600" s="986"/>
      <c r="J600" s="987"/>
      <c r="K600" s="985"/>
      <c r="L600" s="986"/>
      <c r="M600" s="970"/>
      <c r="N600" s="970"/>
      <c r="O600" s="970"/>
      <c r="P600" s="970"/>
      <c r="Q600" s="970"/>
      <c r="R600" s="970"/>
      <c r="S600" s="970"/>
      <c r="T600" s="970"/>
      <c r="U600" s="970"/>
      <c r="V600" s="970"/>
      <c r="W600" s="970"/>
      <c r="X600" s="970"/>
      <c r="Y600" s="970"/>
      <c r="Z600" s="970"/>
      <c r="AA600" s="970"/>
      <c r="AB600" s="970"/>
      <c r="AC600" s="970"/>
      <c r="AD600" s="970"/>
      <c r="AE600" s="970"/>
      <c r="AF600" s="970"/>
      <c r="AG600" s="970"/>
      <c r="AH600" s="970"/>
      <c r="AI600" s="970"/>
      <c r="AJ600" s="970"/>
    </row>
    <row r="601" spans="1:36" s="971" customFormat="1">
      <c r="A601" s="1030"/>
      <c r="B601" s="1031"/>
      <c r="C601" s="1032"/>
      <c r="D601" s="1033"/>
      <c r="E601" s="986"/>
      <c r="F601" s="986"/>
      <c r="G601" s="986"/>
      <c r="H601" s="986"/>
      <c r="I601" s="986"/>
      <c r="J601" s="986"/>
      <c r="K601" s="986"/>
      <c r="L601" s="986"/>
      <c r="M601" s="970"/>
      <c r="N601" s="970"/>
      <c r="O601" s="970"/>
      <c r="P601" s="970"/>
      <c r="Q601" s="970"/>
      <c r="R601" s="970"/>
      <c r="S601" s="970"/>
      <c r="T601" s="970"/>
      <c r="U601" s="970"/>
      <c r="V601" s="970"/>
      <c r="W601" s="970"/>
      <c r="X601" s="970"/>
      <c r="Y601" s="970"/>
      <c r="Z601" s="970"/>
      <c r="AA601" s="970"/>
      <c r="AB601" s="970"/>
      <c r="AC601" s="970"/>
      <c r="AD601" s="970"/>
      <c r="AE601" s="970"/>
      <c r="AF601" s="970"/>
      <c r="AG601" s="970"/>
      <c r="AH601" s="970"/>
      <c r="AI601" s="970"/>
      <c r="AJ601" s="970"/>
    </row>
    <row r="602" spans="1:36" s="971" customFormat="1">
      <c r="A602" s="1034"/>
      <c r="B602" s="966"/>
      <c r="C602" s="1035"/>
      <c r="D602" s="966"/>
      <c r="E602" s="967"/>
      <c r="G602" s="982"/>
      <c r="H602" s="982"/>
      <c r="I602" s="982"/>
      <c r="J602" s="1036"/>
      <c r="K602" s="982"/>
      <c r="L602" s="1037"/>
      <c r="M602" s="970"/>
      <c r="N602" s="970"/>
      <c r="O602" s="970"/>
      <c r="P602" s="970"/>
      <c r="Q602" s="970"/>
      <c r="R602" s="970"/>
      <c r="S602" s="970"/>
      <c r="T602" s="970"/>
      <c r="U602" s="970"/>
      <c r="V602" s="970"/>
      <c r="W602" s="970"/>
      <c r="X602" s="970"/>
      <c r="Y602" s="970"/>
      <c r="Z602" s="970"/>
      <c r="AA602" s="970"/>
      <c r="AB602" s="970"/>
      <c r="AC602" s="970"/>
      <c r="AD602" s="970"/>
      <c r="AE602" s="970"/>
      <c r="AF602" s="970"/>
      <c r="AG602" s="970"/>
      <c r="AH602" s="970"/>
      <c r="AI602" s="970"/>
      <c r="AJ602" s="970"/>
    </row>
    <row r="603" spans="1:36" s="971" customFormat="1" hidden="1">
      <c r="A603" s="1038"/>
      <c r="B603" s="966"/>
      <c r="C603" s="967"/>
      <c r="D603" s="968">
        <v>14</v>
      </c>
      <c r="E603" s="968">
        <v>15</v>
      </c>
      <c r="F603" s="968">
        <v>16</v>
      </c>
      <c r="G603" s="987"/>
      <c r="H603" s="985"/>
      <c r="I603" s="987"/>
      <c r="J603" s="985"/>
      <c r="K603" s="986"/>
      <c r="M603" s="970"/>
      <c r="N603" s="970"/>
      <c r="O603" s="970"/>
      <c r="P603" s="970"/>
      <c r="Q603" s="970"/>
      <c r="R603" s="970"/>
      <c r="S603" s="970"/>
      <c r="T603" s="970"/>
      <c r="U603" s="970"/>
      <c r="V603" s="970"/>
      <c r="W603" s="970"/>
      <c r="X603" s="970"/>
      <c r="Y603" s="970"/>
      <c r="Z603" s="970"/>
      <c r="AA603" s="970"/>
      <c r="AB603" s="970"/>
      <c r="AC603" s="970"/>
      <c r="AD603" s="970"/>
      <c r="AE603" s="970"/>
      <c r="AF603" s="970"/>
      <c r="AG603" s="970"/>
      <c r="AH603" s="970"/>
      <c r="AI603" s="970"/>
      <c r="AJ603" s="970"/>
    </row>
    <row r="604" spans="1:36" s="971" customFormat="1" ht="15.75" hidden="1">
      <c r="A604" s="989" t="s">
        <v>931</v>
      </c>
      <c r="B604" s="990"/>
      <c r="C604" s="1039" t="s">
        <v>764</v>
      </c>
      <c r="D604" s="1040" t="s">
        <v>765</v>
      </c>
      <c r="E604" s="1041" t="s">
        <v>766</v>
      </c>
      <c r="F604" s="970"/>
      <c r="G604" s="1042"/>
      <c r="H604" s="1043"/>
      <c r="I604" s="1044"/>
      <c r="J604" s="994"/>
      <c r="K604" s="1045"/>
      <c r="L604" s="970"/>
      <c r="M604" s="970"/>
      <c r="N604" s="970"/>
      <c r="O604" s="970"/>
      <c r="P604" s="970"/>
      <c r="Q604" s="970"/>
      <c r="R604" s="970"/>
      <c r="S604" s="970"/>
      <c r="T604" s="970"/>
      <c r="U604" s="970"/>
      <c r="V604" s="970"/>
      <c r="W604" s="970"/>
      <c r="X604" s="970"/>
      <c r="Y604" s="970"/>
      <c r="Z604" s="970"/>
      <c r="AA604" s="970"/>
      <c r="AB604" s="970"/>
      <c r="AC604" s="970"/>
      <c r="AD604" s="970"/>
      <c r="AE604" s="970"/>
      <c r="AF604" s="970"/>
      <c r="AG604" s="970"/>
      <c r="AH604" s="970"/>
      <c r="AI604" s="970"/>
      <c r="AJ604" s="970"/>
    </row>
    <row r="605" spans="1:36" s="971" customFormat="1" ht="15.75" hidden="1">
      <c r="A605" s="1046"/>
      <c r="B605" s="976"/>
      <c r="C605" s="1044"/>
      <c r="D605" s="994"/>
      <c r="E605" s="1047"/>
      <c r="F605" s="970"/>
      <c r="G605" s="1042"/>
      <c r="H605" s="1043"/>
      <c r="I605" s="1044"/>
      <c r="J605" s="994"/>
      <c r="K605" s="1045"/>
      <c r="L605" s="970"/>
      <c r="M605" s="970"/>
      <c r="N605" s="970"/>
      <c r="O605" s="970"/>
      <c r="P605" s="970"/>
      <c r="Q605" s="970"/>
      <c r="R605" s="970"/>
      <c r="S605" s="970"/>
      <c r="T605" s="970"/>
      <c r="U605" s="970"/>
      <c r="V605" s="970"/>
      <c r="W605" s="970"/>
      <c r="X605" s="970"/>
      <c r="Y605" s="970"/>
      <c r="Z605" s="970"/>
      <c r="AA605" s="970"/>
      <c r="AB605" s="970"/>
      <c r="AC605" s="970"/>
      <c r="AD605" s="970"/>
      <c r="AE605" s="970"/>
      <c r="AF605" s="970"/>
      <c r="AG605" s="970"/>
      <c r="AH605" s="970"/>
      <c r="AI605" s="970"/>
      <c r="AJ605" s="970"/>
    </row>
    <row r="606" spans="1:36" s="971" customFormat="1" hidden="1">
      <c r="A606" s="999" t="s">
        <v>408</v>
      </c>
      <c r="B606" s="976"/>
      <c r="C606" s="982" t="s">
        <v>489</v>
      </c>
      <c r="D606" s="980" t="s">
        <v>629</v>
      </c>
      <c r="E606" s="1026" t="s">
        <v>630</v>
      </c>
      <c r="F606" s="970"/>
      <c r="G606" s="980"/>
      <c r="H606" s="981"/>
      <c r="I606" s="982"/>
      <c r="J606" s="980"/>
      <c r="K606" s="980"/>
      <c r="L606" s="970"/>
      <c r="M606" s="970"/>
      <c r="N606" s="970"/>
      <c r="O606" s="970"/>
      <c r="P606" s="970"/>
      <c r="Q606" s="970"/>
      <c r="R606" s="970"/>
      <c r="S606" s="970"/>
      <c r="T606" s="970"/>
      <c r="U606" s="970"/>
      <c r="V606" s="970"/>
      <c r="W606" s="970"/>
      <c r="X606" s="970"/>
      <c r="Y606" s="970"/>
      <c r="Z606" s="970"/>
      <c r="AA606" s="970"/>
      <c r="AB606" s="970"/>
      <c r="AC606" s="970"/>
      <c r="AD606" s="970"/>
      <c r="AE606" s="970"/>
      <c r="AF606" s="970"/>
      <c r="AG606" s="970"/>
      <c r="AH606" s="970"/>
      <c r="AI606" s="970"/>
      <c r="AJ606" s="970"/>
    </row>
    <row r="607" spans="1:36" s="971" customFormat="1" hidden="1">
      <c r="A607" s="999" t="s">
        <v>416</v>
      </c>
      <c r="B607" s="1048"/>
      <c r="C607" s="982">
        <v>30299892</v>
      </c>
      <c r="D607" s="1036">
        <v>30299906</v>
      </c>
      <c r="E607" s="1000">
        <v>30299973</v>
      </c>
      <c r="F607" s="970"/>
      <c r="G607" s="982"/>
      <c r="H607" s="982"/>
      <c r="I607" s="982"/>
      <c r="J607" s="1036"/>
      <c r="K607" s="982"/>
      <c r="L607" s="970"/>
      <c r="M607" s="970"/>
      <c r="N607" s="970"/>
      <c r="O607" s="970"/>
      <c r="P607" s="970"/>
      <c r="Q607" s="970"/>
      <c r="R607" s="970"/>
      <c r="S607" s="970"/>
      <c r="T607" s="970"/>
      <c r="U607" s="970"/>
      <c r="V607" s="970"/>
      <c r="W607" s="970"/>
      <c r="X607" s="970"/>
      <c r="Y607" s="970"/>
      <c r="Z607" s="970"/>
      <c r="AA607" s="970"/>
      <c r="AB607" s="970"/>
      <c r="AC607" s="970"/>
      <c r="AD607" s="970"/>
      <c r="AE607" s="970"/>
      <c r="AF607" s="970"/>
      <c r="AG607" s="970"/>
      <c r="AH607" s="970"/>
      <c r="AI607" s="970"/>
      <c r="AJ607" s="970"/>
    </row>
    <row r="608" spans="1:36" s="971" customFormat="1" hidden="1">
      <c r="A608" s="999" t="s">
        <v>212</v>
      </c>
      <c r="B608" s="1048"/>
      <c r="C608" s="1001">
        <v>39239</v>
      </c>
      <c r="D608" s="1001">
        <v>39239</v>
      </c>
      <c r="E608" s="1002">
        <v>39239</v>
      </c>
      <c r="F608" s="970"/>
      <c r="G608" s="1001"/>
      <c r="H608" s="1001"/>
      <c r="I608" s="1001"/>
      <c r="J608" s="1001"/>
      <c r="K608" s="1001"/>
      <c r="L608" s="970"/>
      <c r="M608" s="970"/>
      <c r="N608" s="970"/>
      <c r="O608" s="970"/>
      <c r="P608" s="970"/>
      <c r="Q608" s="970"/>
      <c r="R608" s="970"/>
      <c r="S608" s="970"/>
      <c r="T608" s="970"/>
      <c r="U608" s="970"/>
      <c r="V608" s="970"/>
      <c r="W608" s="970"/>
      <c r="X608" s="970"/>
      <c r="Y608" s="970"/>
      <c r="Z608" s="970"/>
      <c r="AA608" s="970"/>
      <c r="AB608" s="970"/>
      <c r="AC608" s="970"/>
      <c r="AD608" s="970"/>
      <c r="AE608" s="970"/>
      <c r="AF608" s="970"/>
      <c r="AG608" s="970"/>
      <c r="AH608" s="970"/>
      <c r="AI608" s="970"/>
      <c r="AJ608" s="970"/>
    </row>
    <row r="609" spans="1:36" s="971" customFormat="1" hidden="1">
      <c r="A609" s="999" t="s">
        <v>675</v>
      </c>
      <c r="B609" s="976"/>
      <c r="C609" s="987">
        <v>2429000000</v>
      </c>
      <c r="D609" s="985">
        <v>1146000000</v>
      </c>
      <c r="E609" s="1003">
        <v>768500000</v>
      </c>
      <c r="F609" s="970"/>
      <c r="G609" s="987"/>
      <c r="H609" s="985"/>
      <c r="I609" s="987"/>
      <c r="J609" s="985"/>
      <c r="K609" s="986"/>
      <c r="L609" s="970"/>
      <c r="M609" s="970"/>
      <c r="N609" s="970"/>
      <c r="O609" s="970"/>
      <c r="P609" s="970"/>
      <c r="Q609" s="970"/>
      <c r="R609" s="970"/>
      <c r="S609" s="970"/>
      <c r="T609" s="970"/>
      <c r="U609" s="970"/>
      <c r="V609" s="970"/>
      <c r="W609" s="970"/>
      <c r="X609" s="970"/>
      <c r="Y609" s="970"/>
      <c r="Z609" s="970"/>
      <c r="AA609" s="970"/>
      <c r="AB609" s="970"/>
      <c r="AC609" s="970"/>
      <c r="AD609" s="970"/>
      <c r="AE609" s="970"/>
      <c r="AF609" s="970"/>
      <c r="AG609" s="970"/>
      <c r="AH609" s="970"/>
      <c r="AI609" s="970"/>
      <c r="AJ609" s="970"/>
    </row>
    <row r="610" spans="1:36" s="971" customFormat="1" hidden="1">
      <c r="A610" s="999" t="s">
        <v>676</v>
      </c>
      <c r="B610" s="976"/>
      <c r="C610" s="1049">
        <v>0</v>
      </c>
      <c r="D610" s="985">
        <v>0</v>
      </c>
      <c r="E610" s="1003">
        <v>0</v>
      </c>
      <c r="F610" s="970"/>
      <c r="G610" s="1050"/>
      <c r="H610" s="1051"/>
      <c r="I610" s="1049"/>
      <c r="J610" s="985"/>
      <c r="K610" s="986"/>
      <c r="L610" s="970"/>
      <c r="M610" s="970"/>
      <c r="N610" s="970"/>
      <c r="O610" s="970"/>
      <c r="P610" s="970"/>
      <c r="Q610" s="970"/>
      <c r="R610" s="970"/>
      <c r="S610" s="970"/>
      <c r="T610" s="970"/>
      <c r="U610" s="970"/>
      <c r="V610" s="970"/>
      <c r="W610" s="970"/>
      <c r="X610" s="970"/>
      <c r="Y610" s="970"/>
      <c r="Z610" s="970"/>
      <c r="AA610" s="970"/>
      <c r="AB610" s="970"/>
      <c r="AC610" s="970"/>
      <c r="AD610" s="970"/>
      <c r="AE610" s="970"/>
      <c r="AF610" s="970"/>
      <c r="AG610" s="970"/>
      <c r="AH610" s="970"/>
      <c r="AI610" s="970"/>
      <c r="AJ610" s="970"/>
    </row>
    <row r="611" spans="1:36" s="971" customFormat="1" hidden="1">
      <c r="A611" s="999" t="s">
        <v>907</v>
      </c>
      <c r="B611" s="976"/>
      <c r="C611" s="987" t="e">
        <v>#N/A</v>
      </c>
      <c r="D611" s="985" t="e">
        <v>#N/A</v>
      </c>
      <c r="E611" s="1003" t="e">
        <v>#N/A</v>
      </c>
      <c r="F611" s="970"/>
      <c r="G611" s="1050"/>
      <c r="H611" s="1052"/>
      <c r="I611" s="987"/>
      <c r="J611" s="985"/>
      <c r="K611" s="986"/>
      <c r="L611" s="1053"/>
      <c r="M611" s="970"/>
      <c r="N611" s="970"/>
      <c r="O611" s="970"/>
      <c r="P611" s="970"/>
      <c r="Q611" s="970"/>
      <c r="R611" s="970"/>
      <c r="S611" s="970"/>
      <c r="T611" s="970"/>
      <c r="U611" s="970"/>
      <c r="V611" s="970"/>
      <c r="W611" s="970"/>
      <c r="X611" s="970"/>
      <c r="Y611" s="970"/>
      <c r="Z611" s="970"/>
      <c r="AA611" s="970"/>
      <c r="AB611" s="970"/>
      <c r="AC611" s="970"/>
      <c r="AD611" s="970"/>
      <c r="AE611" s="970"/>
      <c r="AF611" s="970"/>
      <c r="AG611" s="970"/>
      <c r="AH611" s="970"/>
      <c r="AI611" s="970"/>
      <c r="AJ611" s="970"/>
    </row>
    <row r="612" spans="1:36" s="971" customFormat="1" hidden="1">
      <c r="A612" s="999" t="s">
        <v>677</v>
      </c>
      <c r="B612" s="976"/>
      <c r="C612" s="987" t="e">
        <v>#N/A</v>
      </c>
      <c r="D612" s="985" t="e">
        <v>#N/A</v>
      </c>
      <c r="E612" s="1003" t="e">
        <v>#N/A</v>
      </c>
      <c r="F612" s="970"/>
      <c r="G612" s="1050"/>
      <c r="H612" s="1052"/>
      <c r="I612" s="987"/>
      <c r="J612" s="985"/>
      <c r="K612" s="986"/>
      <c r="L612" s="970"/>
      <c r="M612" s="970"/>
      <c r="N612" s="970"/>
      <c r="O612" s="970"/>
      <c r="P612" s="970"/>
      <c r="Q612" s="970"/>
      <c r="R612" s="970"/>
      <c r="S612" s="970"/>
      <c r="T612" s="970"/>
      <c r="U612" s="970"/>
      <c r="V612" s="970"/>
      <c r="W612" s="970"/>
      <c r="X612" s="970"/>
      <c r="Y612" s="970"/>
      <c r="Z612" s="970"/>
      <c r="AA612" s="970"/>
      <c r="AB612" s="970"/>
      <c r="AC612" s="970"/>
      <c r="AD612" s="970"/>
      <c r="AE612" s="970"/>
      <c r="AF612" s="970"/>
      <c r="AG612" s="970"/>
      <c r="AH612" s="970"/>
      <c r="AI612" s="970"/>
      <c r="AJ612" s="970"/>
    </row>
    <row r="613" spans="1:36" s="971" customFormat="1" hidden="1">
      <c r="A613" s="999" t="s">
        <v>215</v>
      </c>
      <c r="B613" s="976"/>
      <c r="C613" s="1007">
        <v>1.9865999999999999</v>
      </c>
      <c r="D613" s="1007">
        <v>1.4734</v>
      </c>
      <c r="E613" s="1008">
        <v>1</v>
      </c>
      <c r="F613" s="970"/>
      <c r="G613" s="1007"/>
      <c r="H613" s="1007"/>
      <c r="I613" s="1007"/>
      <c r="J613" s="1007"/>
      <c r="K613" s="1007"/>
      <c r="L613" s="1007"/>
      <c r="M613" s="970"/>
      <c r="N613" s="970"/>
      <c r="O613" s="970"/>
      <c r="P613" s="970"/>
      <c r="Q613" s="970"/>
      <c r="R613" s="970"/>
      <c r="S613" s="970"/>
      <c r="T613" s="970"/>
      <c r="U613" s="970"/>
      <c r="V613" s="970"/>
      <c r="W613" s="970"/>
      <c r="X613" s="970"/>
      <c r="Y613" s="970"/>
      <c r="Z613" s="970"/>
      <c r="AA613" s="970"/>
      <c r="AB613" s="970"/>
      <c r="AC613" s="970"/>
      <c r="AD613" s="970"/>
      <c r="AE613" s="970"/>
      <c r="AF613" s="970"/>
      <c r="AG613" s="970"/>
      <c r="AH613" s="970"/>
      <c r="AI613" s="970"/>
      <c r="AJ613" s="970"/>
    </row>
    <row r="614" spans="1:36" s="971" customFormat="1" hidden="1">
      <c r="A614" s="999" t="s">
        <v>402</v>
      </c>
      <c r="B614" s="976"/>
      <c r="C614" s="1007">
        <v>0</v>
      </c>
      <c r="D614" s="1007">
        <v>0</v>
      </c>
      <c r="E614" s="1008">
        <v>0</v>
      </c>
      <c r="F614" s="970"/>
      <c r="G614" s="1007"/>
      <c r="H614" s="1007"/>
      <c r="I614" s="1007"/>
      <c r="J614" s="1007"/>
      <c r="K614" s="1007"/>
      <c r="L614" s="970"/>
      <c r="M614" s="970"/>
      <c r="N614" s="970"/>
      <c r="O614" s="970"/>
      <c r="P614" s="970"/>
      <c r="Q614" s="970"/>
      <c r="R614" s="970"/>
      <c r="S614" s="970"/>
      <c r="T614" s="970"/>
      <c r="U614" s="970"/>
      <c r="V614" s="970"/>
      <c r="W614" s="970"/>
      <c r="X614" s="970"/>
      <c r="Y614" s="970"/>
      <c r="Z614" s="970"/>
      <c r="AA614" s="970"/>
      <c r="AB614" s="970"/>
      <c r="AC614" s="970"/>
      <c r="AD614" s="970"/>
      <c r="AE614" s="970"/>
      <c r="AF614" s="970"/>
      <c r="AG614" s="970"/>
      <c r="AH614" s="970"/>
      <c r="AI614" s="970"/>
      <c r="AJ614" s="970"/>
    </row>
    <row r="615" spans="1:36" s="971" customFormat="1" hidden="1">
      <c r="A615" s="999" t="s">
        <v>403</v>
      </c>
      <c r="B615" s="976"/>
      <c r="C615" s="1007">
        <v>0</v>
      </c>
      <c r="D615" s="1007">
        <v>0</v>
      </c>
      <c r="E615" s="1008">
        <v>0</v>
      </c>
      <c r="F615" s="970"/>
      <c r="G615" s="1007"/>
      <c r="H615" s="1007"/>
      <c r="I615" s="1007"/>
      <c r="J615" s="1007"/>
      <c r="K615" s="1007"/>
      <c r="L615" s="970"/>
      <c r="M615" s="970"/>
      <c r="N615" s="970"/>
      <c r="O615" s="970"/>
      <c r="P615" s="970"/>
      <c r="Q615" s="970"/>
      <c r="R615" s="970"/>
      <c r="S615" s="970"/>
      <c r="T615" s="970"/>
      <c r="U615" s="970"/>
      <c r="V615" s="970"/>
      <c r="W615" s="970"/>
      <c r="X615" s="970"/>
      <c r="Y615" s="970"/>
      <c r="Z615" s="970"/>
      <c r="AA615" s="970"/>
      <c r="AB615" s="970"/>
      <c r="AC615" s="970"/>
      <c r="AD615" s="970"/>
      <c r="AE615" s="970"/>
      <c r="AF615" s="970"/>
      <c r="AG615" s="970"/>
      <c r="AH615" s="970"/>
      <c r="AI615" s="970"/>
      <c r="AJ615" s="970"/>
    </row>
    <row r="616" spans="1:36" s="971" customFormat="1" hidden="1">
      <c r="A616" s="999" t="s">
        <v>678</v>
      </c>
      <c r="B616" s="976"/>
      <c r="C616" s="987" t="e">
        <v>#N/A</v>
      </c>
      <c r="D616" s="985" t="e">
        <v>#N/A</v>
      </c>
      <c r="E616" s="1003" t="e">
        <v>#N/A</v>
      </c>
      <c r="F616" s="970"/>
      <c r="G616" s="987"/>
      <c r="H616" s="985"/>
      <c r="I616" s="987"/>
      <c r="J616" s="985"/>
      <c r="K616" s="986"/>
      <c r="L616" s="970"/>
      <c r="M616" s="970"/>
      <c r="N616" s="970"/>
      <c r="O616" s="970"/>
      <c r="P616" s="970"/>
      <c r="Q616" s="970"/>
      <c r="R616" s="970"/>
      <c r="S616" s="970"/>
      <c r="T616" s="970"/>
      <c r="U616" s="970"/>
      <c r="V616" s="970"/>
      <c r="W616" s="970"/>
      <c r="X616" s="970"/>
      <c r="Y616" s="970"/>
      <c r="Z616" s="970"/>
      <c r="AA616" s="970"/>
      <c r="AB616" s="970"/>
      <c r="AC616" s="970"/>
      <c r="AD616" s="970"/>
      <c r="AE616" s="970"/>
      <c r="AF616" s="970"/>
      <c r="AG616" s="970"/>
      <c r="AH616" s="970"/>
      <c r="AI616" s="970"/>
      <c r="AJ616" s="970"/>
    </row>
    <row r="617" spans="1:36" s="971" customFormat="1" hidden="1">
      <c r="A617" s="999" t="s">
        <v>679</v>
      </c>
      <c r="B617" s="976"/>
      <c r="C617" s="987" t="e">
        <v>#N/A</v>
      </c>
      <c r="D617" s="985" t="e">
        <v>#N/A</v>
      </c>
      <c r="E617" s="1003" t="e">
        <v>#N/A</v>
      </c>
      <c r="F617" s="970"/>
      <c r="G617" s="987"/>
      <c r="H617" s="985"/>
      <c r="I617" s="987"/>
      <c r="J617" s="985"/>
      <c r="K617" s="986"/>
      <c r="L617" s="970"/>
      <c r="M617" s="970"/>
      <c r="N617" s="970"/>
      <c r="O617" s="970"/>
      <c r="P617" s="970"/>
      <c r="Q617" s="970"/>
      <c r="R617" s="970"/>
      <c r="S617" s="970"/>
      <c r="T617" s="970"/>
      <c r="U617" s="970"/>
      <c r="V617" s="970"/>
      <c r="W617" s="970"/>
      <c r="X617" s="970"/>
      <c r="Y617" s="970"/>
      <c r="Z617" s="970"/>
      <c r="AA617" s="970"/>
      <c r="AB617" s="970"/>
      <c r="AC617" s="970"/>
      <c r="AD617" s="970"/>
      <c r="AE617" s="970"/>
      <c r="AF617" s="970"/>
      <c r="AG617" s="970"/>
      <c r="AH617" s="970"/>
      <c r="AI617" s="970"/>
      <c r="AJ617" s="970"/>
    </row>
    <row r="618" spans="1:36" s="971" customFormat="1" hidden="1">
      <c r="A618" s="999" t="s">
        <v>680</v>
      </c>
      <c r="B618" s="976"/>
      <c r="C618" s="987" t="e">
        <v>#N/A</v>
      </c>
      <c r="D618" s="985" t="e">
        <v>#N/A</v>
      </c>
      <c r="E618" s="1003" t="e">
        <v>#N/A</v>
      </c>
      <c r="F618" s="970"/>
      <c r="G618" s="987"/>
      <c r="H618" s="985"/>
      <c r="I618" s="987"/>
      <c r="J618" s="985"/>
      <c r="K618" s="986"/>
      <c r="L618" s="970"/>
      <c r="M618" s="970"/>
      <c r="N618" s="970"/>
      <c r="O618" s="970"/>
      <c r="P618" s="970"/>
      <c r="Q618" s="970"/>
      <c r="R618" s="970"/>
      <c r="S618" s="970"/>
      <c r="T618" s="970"/>
      <c r="U618" s="970"/>
      <c r="V618" s="970"/>
      <c r="W618" s="970"/>
      <c r="X618" s="970"/>
      <c r="Y618" s="970"/>
      <c r="Z618" s="970"/>
      <c r="AA618" s="970"/>
      <c r="AB618" s="970"/>
      <c r="AC618" s="970"/>
      <c r="AD618" s="970"/>
      <c r="AE618" s="970"/>
      <c r="AF618" s="970"/>
      <c r="AG618" s="970"/>
      <c r="AH618" s="970"/>
      <c r="AI618" s="970"/>
      <c r="AJ618" s="970"/>
    </row>
    <row r="619" spans="1:36" s="971" customFormat="1" hidden="1">
      <c r="A619" s="1054" t="s">
        <v>121</v>
      </c>
      <c r="B619" s="1055"/>
      <c r="C619" s="987">
        <v>0</v>
      </c>
      <c r="D619" s="1056">
        <v>0</v>
      </c>
      <c r="E619" s="1003">
        <v>0</v>
      </c>
      <c r="F619" s="970"/>
      <c r="G619" s="987"/>
      <c r="H619" s="985"/>
      <c r="I619" s="987"/>
      <c r="J619" s="985"/>
      <c r="K619" s="986"/>
      <c r="L619" s="970"/>
      <c r="M619" s="970"/>
      <c r="N619" s="970"/>
      <c r="O619" s="970"/>
      <c r="P619" s="970"/>
      <c r="Q619" s="970"/>
      <c r="R619" s="970"/>
      <c r="S619" s="970"/>
      <c r="T619" s="970"/>
      <c r="U619" s="970"/>
      <c r="V619" s="970"/>
      <c r="W619" s="970"/>
      <c r="X619" s="970"/>
      <c r="Y619" s="970"/>
      <c r="Z619" s="970"/>
      <c r="AA619" s="970"/>
      <c r="AB619" s="970"/>
      <c r="AC619" s="970"/>
      <c r="AD619" s="970"/>
      <c r="AE619" s="970"/>
      <c r="AF619" s="970"/>
      <c r="AG619" s="970"/>
      <c r="AH619" s="970"/>
      <c r="AI619" s="970"/>
      <c r="AJ619" s="970"/>
    </row>
    <row r="620" spans="1:36" s="971" customFormat="1" hidden="1">
      <c r="A620" s="999" t="s">
        <v>757</v>
      </c>
      <c r="B620" s="976"/>
      <c r="C620" s="987" t="s">
        <v>681</v>
      </c>
      <c r="D620" s="987" t="s">
        <v>681</v>
      </c>
      <c r="E620" s="1000" t="s">
        <v>681</v>
      </c>
      <c r="F620" s="970"/>
      <c r="G620" s="982"/>
      <c r="H620" s="982"/>
      <c r="I620" s="987"/>
      <c r="J620" s="987"/>
      <c r="K620" s="982"/>
      <c r="L620" s="970"/>
      <c r="M620" s="970"/>
      <c r="N620" s="970"/>
      <c r="O620" s="970"/>
      <c r="P620" s="970"/>
      <c r="Q620" s="970"/>
      <c r="R620" s="970"/>
      <c r="S620" s="970"/>
      <c r="T620" s="970"/>
      <c r="U620" s="970"/>
      <c r="V620" s="970"/>
      <c r="W620" s="970"/>
      <c r="X620" s="970"/>
      <c r="Y620" s="970"/>
      <c r="Z620" s="970"/>
      <c r="AA620" s="970"/>
      <c r="AB620" s="970"/>
      <c r="AC620" s="970"/>
      <c r="AD620" s="970"/>
      <c r="AE620" s="970"/>
      <c r="AF620" s="970"/>
      <c r="AG620" s="970"/>
      <c r="AH620" s="970"/>
      <c r="AI620" s="970"/>
      <c r="AJ620" s="970"/>
    </row>
    <row r="621" spans="1:36" s="971" customFormat="1" hidden="1">
      <c r="A621" s="999" t="s">
        <v>682</v>
      </c>
      <c r="B621" s="976"/>
      <c r="C621" s="1012" t="s">
        <v>683</v>
      </c>
      <c r="D621" s="1012" t="s">
        <v>684</v>
      </c>
      <c r="E621" s="1013" t="s">
        <v>685</v>
      </c>
      <c r="F621" s="970"/>
      <c r="G621" s="1012"/>
      <c r="H621" s="1012"/>
      <c r="I621" s="1012"/>
      <c r="J621" s="1012"/>
      <c r="K621" s="1012"/>
      <c r="L621" s="970"/>
      <c r="M621" s="970"/>
      <c r="N621" s="970"/>
      <c r="O621" s="970"/>
      <c r="P621" s="970"/>
      <c r="Q621" s="970"/>
      <c r="R621" s="970"/>
      <c r="S621" s="970"/>
      <c r="T621" s="970"/>
      <c r="U621" s="970"/>
      <c r="V621" s="970"/>
      <c r="W621" s="970"/>
      <c r="X621" s="970"/>
      <c r="Y621" s="970"/>
      <c r="Z621" s="970"/>
      <c r="AA621" s="970"/>
      <c r="AB621" s="970"/>
      <c r="AC621" s="970"/>
      <c r="AD621" s="970"/>
      <c r="AE621" s="970"/>
      <c r="AF621" s="970"/>
      <c r="AG621" s="970"/>
      <c r="AH621" s="970"/>
      <c r="AI621" s="970"/>
      <c r="AJ621" s="970"/>
    </row>
    <row r="622" spans="1:36" s="971" customFormat="1" hidden="1">
      <c r="A622" s="999" t="s">
        <v>686</v>
      </c>
      <c r="B622" s="976"/>
      <c r="C622" s="1014">
        <v>3.1150000000000001E-3</v>
      </c>
      <c r="D622" s="1014">
        <v>1.0359999999999999E-2</v>
      </c>
      <c r="E622" s="1015">
        <v>5.2313000000000004E-3</v>
      </c>
      <c r="F622" s="970"/>
      <c r="G622" s="1014"/>
      <c r="H622" s="1014"/>
      <c r="I622" s="1014"/>
      <c r="J622" s="1014"/>
      <c r="K622" s="1014"/>
      <c r="L622" s="970"/>
      <c r="M622" s="970"/>
      <c r="N622" s="970"/>
      <c r="O622" s="970"/>
      <c r="P622" s="970"/>
      <c r="Q622" s="970"/>
      <c r="R622" s="970"/>
      <c r="S622" s="970"/>
      <c r="T622" s="970"/>
      <c r="U622" s="970"/>
      <c r="V622" s="970"/>
      <c r="W622" s="970"/>
      <c r="X622" s="970"/>
      <c r="Y622" s="970"/>
      <c r="Z622" s="970"/>
      <c r="AA622" s="970"/>
      <c r="AB622" s="970"/>
      <c r="AC622" s="970"/>
      <c r="AD622" s="970"/>
      <c r="AE622" s="970"/>
      <c r="AF622" s="970"/>
      <c r="AG622" s="970"/>
      <c r="AH622" s="970"/>
      <c r="AI622" s="970"/>
      <c r="AJ622" s="970"/>
    </row>
    <row r="623" spans="1:36" s="971" customFormat="1" hidden="1">
      <c r="A623" s="999" t="s">
        <v>687</v>
      </c>
      <c r="B623" s="976"/>
      <c r="C623" s="1014">
        <v>8.0000000000000004E-4</v>
      </c>
      <c r="D623" s="1014">
        <v>1E-3</v>
      </c>
      <c r="E623" s="1015">
        <v>1E-3</v>
      </c>
      <c r="F623" s="970"/>
      <c r="G623" s="1014"/>
      <c r="H623" s="1014"/>
      <c r="I623" s="1014"/>
      <c r="J623" s="1014"/>
      <c r="K623" s="1014"/>
      <c r="L623" s="970"/>
      <c r="M623" s="970"/>
      <c r="N623" s="970"/>
      <c r="O623" s="970"/>
      <c r="P623" s="970"/>
      <c r="Q623" s="970"/>
      <c r="R623" s="970"/>
      <c r="S623" s="970"/>
      <c r="T623" s="970"/>
      <c r="U623" s="970"/>
      <c r="V623" s="970"/>
      <c r="W623" s="970"/>
      <c r="X623" s="970"/>
      <c r="Y623" s="970"/>
      <c r="Z623" s="970"/>
      <c r="AA623" s="970"/>
      <c r="AB623" s="970"/>
      <c r="AC623" s="970"/>
      <c r="AD623" s="970"/>
      <c r="AE623" s="970"/>
      <c r="AF623" s="970"/>
      <c r="AG623" s="970"/>
      <c r="AH623" s="970"/>
      <c r="AI623" s="970"/>
      <c r="AJ623" s="970"/>
    </row>
    <row r="624" spans="1:36" s="971" customFormat="1" hidden="1">
      <c r="A624" s="999" t="s">
        <v>909</v>
      </c>
      <c r="B624" s="976"/>
      <c r="C624" s="987">
        <v>0</v>
      </c>
      <c r="D624" s="985">
        <v>0</v>
      </c>
      <c r="E624" s="1003">
        <v>0</v>
      </c>
      <c r="F624" s="970"/>
      <c r="G624" s="987"/>
      <c r="H624" s="985"/>
      <c r="I624" s="987"/>
      <c r="J624" s="985"/>
      <c r="K624" s="986"/>
      <c r="L624" s="970"/>
      <c r="M624" s="970"/>
      <c r="N624" s="970"/>
      <c r="O624" s="970"/>
      <c r="P624" s="970"/>
      <c r="Q624" s="970"/>
      <c r="R624" s="970"/>
      <c r="S624" s="970"/>
      <c r="T624" s="970"/>
      <c r="U624" s="970"/>
      <c r="V624" s="970"/>
      <c r="W624" s="970"/>
      <c r="X624" s="970"/>
      <c r="Y624" s="970"/>
      <c r="Z624" s="970"/>
      <c r="AA624" s="970"/>
      <c r="AB624" s="970"/>
      <c r="AC624" s="970"/>
      <c r="AD624" s="970"/>
      <c r="AE624" s="970"/>
      <c r="AF624" s="970"/>
      <c r="AG624" s="970"/>
      <c r="AH624" s="970"/>
      <c r="AI624" s="970"/>
      <c r="AJ624" s="970"/>
    </row>
    <row r="625" spans="1:40" s="971" customFormat="1" hidden="1">
      <c r="A625" s="1016" t="s">
        <v>906</v>
      </c>
      <c r="B625" s="976"/>
      <c r="C625" s="987">
        <v>0</v>
      </c>
      <c r="D625" s="985">
        <v>0</v>
      </c>
      <c r="E625" s="1003">
        <v>0</v>
      </c>
      <c r="F625" s="970"/>
      <c r="G625" s="987"/>
      <c r="H625" s="985"/>
      <c r="I625" s="987"/>
      <c r="J625" s="985"/>
      <c r="K625" s="986"/>
      <c r="L625" s="970"/>
      <c r="M625" s="970"/>
      <c r="N625" s="970"/>
      <c r="O625" s="970"/>
      <c r="P625" s="970"/>
      <c r="Q625" s="970"/>
      <c r="R625" s="970"/>
      <c r="S625" s="970"/>
      <c r="T625" s="970"/>
      <c r="U625" s="970"/>
      <c r="V625" s="970"/>
      <c r="W625" s="970"/>
      <c r="X625" s="970"/>
      <c r="Y625" s="970"/>
      <c r="Z625" s="970"/>
      <c r="AA625" s="970"/>
      <c r="AB625" s="970"/>
      <c r="AC625" s="970"/>
      <c r="AD625" s="970"/>
      <c r="AE625" s="970"/>
      <c r="AF625" s="970"/>
      <c r="AG625" s="970"/>
      <c r="AH625" s="970"/>
      <c r="AI625" s="970"/>
      <c r="AJ625" s="970"/>
    </row>
    <row r="626" spans="1:40" s="971" customFormat="1" hidden="1">
      <c r="A626" s="999" t="s">
        <v>688</v>
      </c>
      <c r="B626" s="976"/>
      <c r="C626" s="987">
        <v>0</v>
      </c>
      <c r="D626" s="985">
        <v>0</v>
      </c>
      <c r="E626" s="1003">
        <v>0</v>
      </c>
      <c r="F626" s="970"/>
      <c r="G626" s="987"/>
      <c r="H626" s="985"/>
      <c r="I626" s="987"/>
      <c r="J626" s="985"/>
      <c r="K626" s="986"/>
      <c r="L626" s="970"/>
      <c r="M626" s="970"/>
      <c r="N626" s="970"/>
      <c r="O626" s="970"/>
      <c r="P626" s="970"/>
      <c r="Q626" s="970"/>
      <c r="R626" s="970"/>
      <c r="S626" s="970"/>
      <c r="T626" s="970"/>
      <c r="U626" s="970"/>
      <c r="V626" s="970"/>
      <c r="W626" s="970"/>
      <c r="X626" s="970"/>
      <c r="Y626" s="970"/>
      <c r="Z626" s="970"/>
      <c r="AA626" s="970"/>
      <c r="AB626" s="970"/>
      <c r="AC626" s="970"/>
      <c r="AD626" s="970"/>
      <c r="AE626" s="970"/>
      <c r="AF626" s="970"/>
      <c r="AG626" s="970"/>
      <c r="AH626" s="970"/>
      <c r="AI626" s="970"/>
      <c r="AJ626" s="970"/>
    </row>
    <row r="627" spans="1:40" s="971" customFormat="1" hidden="1">
      <c r="A627" s="999" t="s">
        <v>708</v>
      </c>
      <c r="B627" s="976"/>
      <c r="C627" s="987">
        <v>-7.2332050358662837E-6</v>
      </c>
      <c r="D627" s="985">
        <v>0</v>
      </c>
      <c r="E627" s="1003">
        <v>0</v>
      </c>
      <c r="F627" s="970"/>
      <c r="G627" s="987"/>
      <c r="H627" s="985"/>
      <c r="I627" s="987"/>
      <c r="J627" s="985"/>
      <c r="K627" s="986"/>
      <c r="L627" s="970"/>
      <c r="M627" s="970"/>
      <c r="N627" s="970"/>
      <c r="O627" s="970"/>
      <c r="P627" s="970"/>
      <c r="Q627" s="970"/>
      <c r="R627" s="970"/>
      <c r="S627" s="970"/>
      <c r="T627" s="970"/>
      <c r="U627" s="970"/>
      <c r="V627" s="970"/>
      <c r="W627" s="970"/>
      <c r="X627" s="970"/>
      <c r="Y627" s="970"/>
      <c r="Z627" s="970"/>
      <c r="AA627" s="970"/>
      <c r="AB627" s="970"/>
      <c r="AC627" s="970"/>
      <c r="AD627" s="970"/>
      <c r="AE627" s="970"/>
      <c r="AF627" s="970"/>
      <c r="AG627" s="970"/>
      <c r="AH627" s="970"/>
      <c r="AI627" s="970"/>
      <c r="AJ627" s="970"/>
    </row>
    <row r="628" spans="1:40" s="971" customFormat="1" hidden="1">
      <c r="A628" s="999" t="s">
        <v>689</v>
      </c>
      <c r="B628" s="976"/>
      <c r="C628" s="980">
        <v>4.5999999999999996</v>
      </c>
      <c r="D628" s="980">
        <v>4.5999999999999996</v>
      </c>
      <c r="E628" s="1026">
        <v>4.5999999999999996</v>
      </c>
      <c r="F628" s="970"/>
      <c r="G628" s="980"/>
      <c r="H628" s="980"/>
      <c r="I628" s="980"/>
      <c r="J628" s="980"/>
      <c r="K628" s="980"/>
      <c r="L628" s="970"/>
      <c r="M628" s="970"/>
      <c r="N628" s="970"/>
      <c r="O628" s="970"/>
      <c r="P628" s="970"/>
      <c r="Q628" s="970"/>
      <c r="R628" s="970"/>
      <c r="S628" s="970"/>
      <c r="T628" s="970"/>
      <c r="U628" s="970"/>
      <c r="V628" s="970"/>
      <c r="W628" s="970"/>
      <c r="X628" s="970"/>
      <c r="Y628" s="970"/>
      <c r="Z628" s="970"/>
      <c r="AA628" s="970"/>
      <c r="AB628" s="970"/>
      <c r="AC628" s="970"/>
      <c r="AD628" s="970"/>
      <c r="AE628" s="970"/>
      <c r="AF628" s="970"/>
      <c r="AG628" s="970"/>
      <c r="AH628" s="970"/>
      <c r="AI628" s="970"/>
      <c r="AJ628" s="970"/>
    </row>
    <row r="629" spans="1:40" s="971" customFormat="1" hidden="1">
      <c r="A629" s="999" t="s">
        <v>690</v>
      </c>
      <c r="B629" s="976"/>
      <c r="C629" s="1001">
        <v>41049</v>
      </c>
      <c r="D629" s="1001">
        <v>41049</v>
      </c>
      <c r="E629" s="1019">
        <v>41049</v>
      </c>
      <c r="F629" s="970"/>
      <c r="G629" s="1001"/>
      <c r="H629" s="1001"/>
      <c r="I629" s="1001"/>
      <c r="J629" s="1001"/>
      <c r="K629" s="988"/>
      <c r="L629" s="970"/>
      <c r="M629" s="1057"/>
      <c r="N629" s="1057"/>
      <c r="O629" s="1057"/>
      <c r="P629" s="1058"/>
      <c r="Q629" s="1057"/>
      <c r="R629" s="1057"/>
      <c r="S629" s="1057"/>
      <c r="T629" s="1057"/>
      <c r="U629" s="1057"/>
      <c r="V629" s="1057"/>
      <c r="W629" s="1057"/>
      <c r="X629" s="1057"/>
      <c r="Y629" s="1057"/>
      <c r="Z629" s="1058"/>
      <c r="AA629" s="1057"/>
      <c r="AB629" s="1057"/>
      <c r="AC629" s="1057"/>
      <c r="AD629" s="1057"/>
      <c r="AE629" s="1057"/>
      <c r="AF629" s="1057"/>
      <c r="AG629" s="1057"/>
      <c r="AH629" s="1057"/>
      <c r="AI629" s="1057"/>
      <c r="AJ629" s="1057"/>
    </row>
    <row r="630" spans="1:40" s="971" customFormat="1" hidden="1">
      <c r="A630" s="999" t="s">
        <v>691</v>
      </c>
      <c r="B630" s="976"/>
      <c r="C630" s="988">
        <v>41049</v>
      </c>
      <c r="D630" s="988">
        <v>41049</v>
      </c>
      <c r="E630" s="1019">
        <v>41049</v>
      </c>
      <c r="F630" s="970"/>
      <c r="G630" s="988"/>
      <c r="H630" s="988"/>
      <c r="I630" s="988"/>
      <c r="J630" s="988"/>
      <c r="K630" s="988"/>
      <c r="L630" s="970"/>
      <c r="M630" s="1059"/>
      <c r="N630" s="1059"/>
      <c r="O630" s="1059"/>
      <c r="P630" s="1059"/>
      <c r="Q630" s="1059"/>
      <c r="R630" s="1059"/>
      <c r="S630" s="1059"/>
      <c r="T630" s="1059"/>
      <c r="U630" s="1059"/>
      <c r="V630" s="1059"/>
      <c r="W630" s="1059"/>
      <c r="X630" s="1059"/>
      <c r="Y630" s="1059"/>
      <c r="Z630" s="1059"/>
      <c r="AA630" s="1059"/>
      <c r="AB630" s="1059"/>
      <c r="AC630" s="1059"/>
      <c r="AD630" s="1059"/>
      <c r="AE630" s="1059"/>
      <c r="AF630" s="1059"/>
      <c r="AG630" s="1059"/>
      <c r="AH630" s="1059"/>
      <c r="AI630" s="1059"/>
      <c r="AJ630" s="1059"/>
      <c r="AK630" s="1060"/>
      <c r="AL630" s="1060"/>
      <c r="AM630" s="1060"/>
      <c r="AN630" s="1060"/>
    </row>
    <row r="631" spans="1:40" s="971" customFormat="1" hidden="1">
      <c r="A631" s="999" t="s">
        <v>692</v>
      </c>
      <c r="B631" s="976" t="s">
        <v>639</v>
      </c>
      <c r="C631" s="988">
        <v>57304</v>
      </c>
      <c r="D631" s="988">
        <v>57304</v>
      </c>
      <c r="E631" s="1019">
        <v>57304</v>
      </c>
      <c r="F631" s="970"/>
      <c r="G631" s="988"/>
      <c r="H631" s="988"/>
      <c r="I631" s="988"/>
      <c r="J631" s="988"/>
      <c r="K631" s="988"/>
      <c r="L631" s="970"/>
      <c r="M631" s="1061"/>
      <c r="N631" s="1061"/>
      <c r="O631" s="1061"/>
      <c r="P631" s="1061"/>
      <c r="Q631" s="1061"/>
      <c r="R631" s="1061"/>
      <c r="S631" s="1061"/>
      <c r="T631" s="1061"/>
      <c r="U631" s="1061"/>
      <c r="V631" s="1061"/>
      <c r="W631" s="1061"/>
      <c r="X631" s="1061"/>
      <c r="Y631" s="1061"/>
      <c r="Z631" s="1061"/>
      <c r="AA631" s="1061"/>
      <c r="AB631" s="1061"/>
      <c r="AC631" s="1061"/>
      <c r="AD631" s="1061"/>
      <c r="AE631" s="1061"/>
      <c r="AF631" s="1061"/>
      <c r="AG631" s="1061"/>
      <c r="AH631" s="1061"/>
      <c r="AI631" s="1061"/>
      <c r="AJ631" s="1061"/>
      <c r="AK631" s="1060"/>
      <c r="AL631" s="1060"/>
      <c r="AM631" s="1060"/>
      <c r="AN631" s="1060"/>
    </row>
    <row r="632" spans="1:40" s="971" customFormat="1" hidden="1">
      <c r="A632" s="1062" t="s">
        <v>214</v>
      </c>
      <c r="B632" s="976"/>
      <c r="C632" s="988" t="s">
        <v>561</v>
      </c>
      <c r="D632" s="988" t="s">
        <v>561</v>
      </c>
      <c r="E632" s="1019" t="s">
        <v>561</v>
      </c>
      <c r="F632" s="970"/>
      <c r="G632" s="988"/>
      <c r="H632" s="988"/>
      <c r="I632" s="988"/>
      <c r="J632" s="988"/>
      <c r="K632" s="988"/>
      <c r="L632" s="988"/>
      <c r="M632" s="970"/>
      <c r="N632" s="970"/>
      <c r="O632" s="970"/>
      <c r="P632" s="970"/>
      <c r="Q632" s="970"/>
      <c r="R632" s="970"/>
      <c r="S632" s="970"/>
      <c r="T632" s="970"/>
      <c r="U632" s="970"/>
      <c r="V632" s="970"/>
      <c r="W632" s="970"/>
      <c r="X632" s="970"/>
      <c r="Y632" s="970"/>
      <c r="Z632" s="970"/>
      <c r="AA632" s="970"/>
      <c r="AB632" s="970"/>
      <c r="AC632" s="970"/>
      <c r="AD632" s="970"/>
      <c r="AE632" s="970"/>
      <c r="AF632" s="970"/>
      <c r="AG632" s="970"/>
      <c r="AH632" s="970"/>
      <c r="AI632" s="970"/>
      <c r="AJ632" s="970"/>
    </row>
    <row r="633" spans="1:40" s="971" customFormat="1" hidden="1">
      <c r="A633" s="1062"/>
      <c r="B633" s="976"/>
      <c r="C633" s="988"/>
      <c r="D633" s="988"/>
      <c r="E633" s="1019"/>
      <c r="F633" s="970"/>
      <c r="G633" s="988"/>
      <c r="H633" s="988"/>
      <c r="I633" s="988"/>
      <c r="J633" s="988"/>
      <c r="K633" s="988"/>
      <c r="L633" s="988"/>
      <c r="M633" s="970"/>
      <c r="N633" s="970"/>
      <c r="O633" s="970"/>
      <c r="P633" s="970"/>
      <c r="Q633" s="970"/>
      <c r="R633" s="970"/>
      <c r="S633" s="970"/>
      <c r="T633" s="970"/>
      <c r="U633" s="970"/>
      <c r="V633" s="970"/>
      <c r="W633" s="970"/>
      <c r="X633" s="970"/>
      <c r="Y633" s="970"/>
      <c r="Z633" s="970"/>
      <c r="AA633" s="970"/>
      <c r="AB633" s="970"/>
      <c r="AC633" s="970"/>
      <c r="AD633" s="970"/>
      <c r="AE633" s="970"/>
      <c r="AF633" s="970"/>
      <c r="AG633" s="970"/>
      <c r="AH633" s="970"/>
      <c r="AI633" s="970"/>
      <c r="AJ633" s="970"/>
    </row>
    <row r="634" spans="1:40" s="971" customFormat="1" hidden="1">
      <c r="A634" s="1021" t="s">
        <v>369</v>
      </c>
      <c r="B634" s="990"/>
      <c r="C634" s="1022"/>
      <c r="D634" s="1063"/>
      <c r="E634" s="1064"/>
      <c r="F634" s="970"/>
      <c r="G634" s="980"/>
      <c r="H634" s="982"/>
      <c r="I634" s="982"/>
      <c r="J634" s="980"/>
      <c r="K634" s="982"/>
      <c r="L634" s="970"/>
      <c r="M634" s="970"/>
      <c r="N634" s="970"/>
      <c r="O634" s="970"/>
      <c r="P634" s="970"/>
      <c r="Q634" s="970"/>
      <c r="R634" s="970"/>
      <c r="S634" s="970"/>
      <c r="T634" s="970"/>
      <c r="U634" s="970"/>
      <c r="V634" s="970"/>
      <c r="W634" s="970"/>
      <c r="X634" s="970"/>
      <c r="Y634" s="970"/>
      <c r="Z634" s="970"/>
      <c r="AA634" s="970"/>
      <c r="AB634" s="970"/>
      <c r="AC634" s="970"/>
      <c r="AD634" s="970"/>
      <c r="AE634" s="970"/>
      <c r="AF634" s="970"/>
      <c r="AG634" s="970"/>
      <c r="AH634" s="970"/>
      <c r="AI634" s="970"/>
      <c r="AJ634" s="970"/>
    </row>
    <row r="635" spans="1:40" s="971" customFormat="1" hidden="1">
      <c r="A635" s="1025" t="s">
        <v>1044</v>
      </c>
      <c r="B635" s="976"/>
      <c r="C635" s="982"/>
      <c r="D635" s="980"/>
      <c r="E635" s="1000"/>
      <c r="F635" s="970"/>
      <c r="G635" s="980"/>
      <c r="H635" s="982"/>
      <c r="I635" s="982"/>
      <c r="J635" s="980"/>
      <c r="K635" s="982"/>
      <c r="L635" s="970"/>
      <c r="M635" s="970"/>
      <c r="N635" s="970"/>
      <c r="O635" s="970"/>
      <c r="P635" s="970"/>
      <c r="Q635" s="970"/>
      <c r="R635" s="970"/>
      <c r="S635" s="970"/>
      <c r="T635" s="970"/>
      <c r="U635" s="970"/>
      <c r="V635" s="970"/>
      <c r="W635" s="970"/>
      <c r="X635" s="970"/>
      <c r="Y635" s="970"/>
      <c r="Z635" s="970"/>
      <c r="AA635" s="970"/>
      <c r="AB635" s="970"/>
      <c r="AC635" s="970"/>
      <c r="AD635" s="970"/>
      <c r="AE635" s="970"/>
      <c r="AF635" s="970"/>
      <c r="AG635" s="970"/>
      <c r="AH635" s="970"/>
      <c r="AI635" s="970"/>
      <c r="AJ635" s="970"/>
    </row>
    <row r="636" spans="1:40" s="971" customFormat="1" hidden="1">
      <c r="A636" s="1016" t="s">
        <v>370</v>
      </c>
      <c r="B636" s="976"/>
      <c r="C636" s="980" t="s">
        <v>174</v>
      </c>
      <c r="D636" s="980" t="s">
        <v>174</v>
      </c>
      <c r="E636" s="1026" t="s">
        <v>622</v>
      </c>
      <c r="F636" s="970"/>
      <c r="G636" s="980"/>
      <c r="H636" s="982"/>
      <c r="I636" s="982"/>
      <c r="J636" s="980"/>
      <c r="K636" s="982"/>
      <c r="L636" s="970"/>
      <c r="M636" s="970"/>
      <c r="N636" s="970"/>
      <c r="O636" s="970"/>
      <c r="P636" s="970"/>
      <c r="Q636" s="970"/>
      <c r="R636" s="970"/>
      <c r="S636" s="970"/>
      <c r="T636" s="970"/>
      <c r="U636" s="970"/>
      <c r="V636" s="970"/>
      <c r="W636" s="970"/>
      <c r="X636" s="970"/>
      <c r="Y636" s="970"/>
      <c r="Z636" s="970"/>
      <c r="AA636" s="970"/>
      <c r="AB636" s="970"/>
      <c r="AC636" s="970"/>
      <c r="AD636" s="970"/>
      <c r="AE636" s="970"/>
      <c r="AF636" s="970"/>
      <c r="AG636" s="970"/>
      <c r="AH636" s="970"/>
      <c r="AI636" s="970"/>
      <c r="AJ636" s="970"/>
    </row>
    <row r="637" spans="1:40" s="971" customFormat="1" hidden="1">
      <c r="A637" s="1025"/>
      <c r="B637" s="976"/>
      <c r="C637" s="982"/>
      <c r="D637" s="980"/>
      <c r="E637" s="1000"/>
      <c r="F637" s="970"/>
      <c r="G637" s="980"/>
      <c r="H637" s="982"/>
      <c r="I637" s="982"/>
      <c r="J637" s="980"/>
      <c r="K637" s="982"/>
      <c r="L637" s="970"/>
      <c r="M637" s="970"/>
      <c r="N637" s="970"/>
      <c r="O637" s="970"/>
      <c r="P637" s="970"/>
      <c r="Q637" s="970"/>
      <c r="R637" s="970"/>
      <c r="S637" s="970"/>
      <c r="T637" s="970"/>
      <c r="U637" s="970"/>
      <c r="V637" s="970"/>
      <c r="W637" s="970"/>
      <c r="X637" s="970"/>
      <c r="Y637" s="970"/>
      <c r="Z637" s="970"/>
      <c r="AA637" s="970"/>
      <c r="AB637" s="970"/>
      <c r="AC637" s="970"/>
      <c r="AD637" s="970"/>
      <c r="AE637" s="970"/>
      <c r="AF637" s="970"/>
      <c r="AG637" s="970"/>
      <c r="AH637" s="970"/>
      <c r="AI637" s="970"/>
      <c r="AJ637" s="970"/>
    </row>
    <row r="638" spans="1:40" s="971" customFormat="1" hidden="1">
      <c r="A638" s="1027" t="s">
        <v>209</v>
      </c>
      <c r="B638" s="976"/>
      <c r="C638" s="982"/>
      <c r="D638" s="980"/>
      <c r="E638" s="1000"/>
      <c r="F638" s="970"/>
      <c r="G638" s="980"/>
      <c r="H638" s="982"/>
      <c r="I638" s="982"/>
      <c r="J638" s="980"/>
      <c r="K638" s="982"/>
      <c r="L638" s="970"/>
      <c r="M638" s="970"/>
      <c r="N638" s="970"/>
      <c r="O638" s="970"/>
      <c r="P638" s="970"/>
      <c r="Q638" s="970"/>
      <c r="R638" s="970"/>
      <c r="S638" s="970"/>
      <c r="T638" s="970"/>
      <c r="U638" s="970"/>
      <c r="V638" s="970"/>
      <c r="W638" s="970"/>
      <c r="X638" s="970"/>
      <c r="Y638" s="970"/>
      <c r="Z638" s="970"/>
      <c r="AA638" s="970"/>
      <c r="AB638" s="970"/>
      <c r="AC638" s="970"/>
      <c r="AD638" s="970"/>
      <c r="AE638" s="970"/>
      <c r="AF638" s="970"/>
      <c r="AG638" s="970"/>
      <c r="AH638" s="970"/>
      <c r="AI638" s="970"/>
      <c r="AJ638" s="970"/>
    </row>
    <row r="639" spans="1:40" s="971" customFormat="1" hidden="1">
      <c r="A639" s="999" t="s">
        <v>374</v>
      </c>
      <c r="B639" s="976"/>
      <c r="C639" s="986">
        <v>-4.4749975204467773E-3</v>
      </c>
      <c r="D639" s="986">
        <v>1.5813708305358887E-3</v>
      </c>
      <c r="E639" s="1003" t="s">
        <v>622</v>
      </c>
      <c r="F639" s="970"/>
      <c r="G639" s="980"/>
      <c r="H639" s="982"/>
      <c r="I639" s="982"/>
      <c r="J639" s="980"/>
      <c r="K639" s="982"/>
      <c r="L639" s="970"/>
      <c r="M639" s="970"/>
      <c r="N639" s="970"/>
      <c r="O639" s="970"/>
      <c r="P639" s="970"/>
      <c r="Q639" s="970"/>
      <c r="R639" s="970"/>
      <c r="S639" s="970"/>
      <c r="T639" s="970"/>
      <c r="U639" s="970"/>
      <c r="V639" s="970"/>
      <c r="W639" s="970"/>
      <c r="X639" s="970"/>
      <c r="Y639" s="970"/>
      <c r="Z639" s="970"/>
      <c r="AA639" s="970"/>
      <c r="AB639" s="970"/>
      <c r="AC639" s="970"/>
      <c r="AD639" s="970"/>
      <c r="AE639" s="970"/>
      <c r="AF639" s="970"/>
      <c r="AG639" s="970"/>
      <c r="AH639" s="970"/>
      <c r="AI639" s="970"/>
      <c r="AJ639" s="970"/>
    </row>
    <row r="640" spans="1:40" s="971" customFormat="1" hidden="1">
      <c r="A640" s="999" t="s">
        <v>907</v>
      </c>
      <c r="B640" s="976"/>
      <c r="C640" s="986" t="e">
        <v>#N/A</v>
      </c>
      <c r="D640" s="986" t="e">
        <v>#N/A</v>
      </c>
      <c r="E640" s="1003" t="s">
        <v>622</v>
      </c>
      <c r="F640" s="970"/>
      <c r="G640" s="980"/>
      <c r="H640" s="982"/>
      <c r="I640" s="982"/>
      <c r="J640" s="980"/>
      <c r="K640" s="982"/>
      <c r="L640" s="970"/>
      <c r="M640" s="970"/>
      <c r="N640" s="970"/>
      <c r="O640" s="970"/>
      <c r="P640" s="970"/>
      <c r="Q640" s="970"/>
      <c r="R640" s="970"/>
      <c r="S640" s="970"/>
      <c r="T640" s="970"/>
      <c r="U640" s="970"/>
      <c r="V640" s="970"/>
      <c r="W640" s="970"/>
      <c r="X640" s="970"/>
      <c r="Y640" s="970"/>
      <c r="Z640" s="970"/>
      <c r="AA640" s="970"/>
      <c r="AB640" s="970"/>
      <c r="AC640" s="970"/>
      <c r="AD640" s="970"/>
      <c r="AE640" s="970"/>
      <c r="AF640" s="970"/>
      <c r="AG640" s="970"/>
      <c r="AH640" s="970"/>
      <c r="AI640" s="970"/>
      <c r="AJ640" s="970"/>
    </row>
    <row r="641" spans="1:36" s="971" customFormat="1" hidden="1">
      <c r="A641" s="1016" t="s">
        <v>371</v>
      </c>
      <c r="B641" s="976"/>
      <c r="C641" s="1012" t="s">
        <v>685</v>
      </c>
      <c r="D641" s="1012" t="s">
        <v>685</v>
      </c>
      <c r="E641" s="1013" t="s">
        <v>622</v>
      </c>
      <c r="F641" s="970"/>
      <c r="G641" s="980"/>
      <c r="H641" s="982"/>
      <c r="I641" s="982"/>
      <c r="J641" s="980"/>
      <c r="K641" s="982"/>
      <c r="L641" s="970"/>
      <c r="M641" s="970"/>
      <c r="N641" s="970"/>
      <c r="O641" s="970"/>
      <c r="P641" s="970"/>
      <c r="Q641" s="970"/>
      <c r="R641" s="970"/>
      <c r="S641" s="970"/>
      <c r="T641" s="970"/>
      <c r="U641" s="970"/>
      <c r="V641" s="970"/>
      <c r="W641" s="970"/>
      <c r="X641" s="970"/>
      <c r="Y641" s="970"/>
      <c r="Z641" s="970"/>
      <c r="AA641" s="970"/>
      <c r="AB641" s="970"/>
      <c r="AC641" s="970"/>
      <c r="AD641" s="970"/>
      <c r="AE641" s="970"/>
      <c r="AF641" s="970"/>
      <c r="AG641" s="970"/>
      <c r="AH641" s="970"/>
      <c r="AI641" s="970"/>
      <c r="AJ641" s="970"/>
    </row>
    <row r="642" spans="1:36" s="971" customFormat="1" hidden="1">
      <c r="A642" s="1028" t="s">
        <v>687</v>
      </c>
      <c r="B642" s="976"/>
      <c r="C642" s="1014">
        <v>1.199E-3</v>
      </c>
      <c r="D642" s="1014">
        <v>1.266E-3</v>
      </c>
      <c r="E642" s="1015" t="s">
        <v>622</v>
      </c>
      <c r="F642" s="970"/>
      <c r="G642" s="980"/>
      <c r="H642" s="982"/>
      <c r="I642" s="982"/>
      <c r="J642" s="980"/>
      <c r="K642" s="982"/>
      <c r="L642" s="970"/>
      <c r="M642" s="970"/>
      <c r="N642" s="970"/>
      <c r="O642" s="970"/>
      <c r="P642" s="970"/>
      <c r="Q642" s="970"/>
      <c r="R642" s="970"/>
      <c r="S642" s="970"/>
      <c r="T642" s="970"/>
      <c r="U642" s="970"/>
      <c r="V642" s="970"/>
      <c r="W642" s="970"/>
      <c r="X642" s="970"/>
      <c r="Y642" s="970"/>
      <c r="Z642" s="970"/>
      <c r="AA642" s="970"/>
      <c r="AB642" s="970"/>
      <c r="AC642" s="970"/>
      <c r="AD642" s="970"/>
      <c r="AE642" s="970"/>
      <c r="AF642" s="970"/>
      <c r="AG642" s="970"/>
      <c r="AH642" s="970"/>
      <c r="AI642" s="970"/>
      <c r="AJ642" s="970"/>
    </row>
    <row r="643" spans="1:36" s="971" customFormat="1" hidden="1">
      <c r="A643" s="999" t="s">
        <v>906</v>
      </c>
      <c r="B643" s="976"/>
      <c r="C643" s="986">
        <v>-7.2332050358662837E-6</v>
      </c>
      <c r="D643" s="986">
        <v>2.5826965687053452E-6</v>
      </c>
      <c r="E643" s="1003" t="s">
        <v>622</v>
      </c>
      <c r="F643" s="970"/>
      <c r="G643" s="980"/>
      <c r="H643" s="982"/>
      <c r="I643" s="982"/>
      <c r="J643" s="980"/>
      <c r="K643" s="982"/>
      <c r="L643" s="970"/>
      <c r="M643" s="970"/>
      <c r="N643" s="970"/>
      <c r="O643" s="970"/>
      <c r="P643" s="970"/>
      <c r="Q643" s="970"/>
      <c r="R643" s="970"/>
      <c r="S643" s="970"/>
      <c r="T643" s="970"/>
      <c r="U643" s="970"/>
      <c r="V643" s="970"/>
      <c r="W643" s="970"/>
      <c r="X643" s="970"/>
      <c r="Y643" s="970"/>
      <c r="Z643" s="970"/>
      <c r="AA643" s="970"/>
      <c r="AB643" s="970"/>
      <c r="AC643" s="970"/>
      <c r="AD643" s="970"/>
      <c r="AE643" s="970"/>
      <c r="AF643" s="970"/>
      <c r="AG643" s="970"/>
      <c r="AH643" s="970"/>
      <c r="AI643" s="970"/>
      <c r="AJ643" s="970"/>
    </row>
    <row r="644" spans="1:36" s="971" customFormat="1" hidden="1">
      <c r="A644" s="999"/>
      <c r="B644" s="976"/>
      <c r="C644" s="982"/>
      <c r="D644" s="980"/>
      <c r="E644" s="1000"/>
      <c r="F644" s="970"/>
      <c r="G644" s="980"/>
      <c r="H644" s="982"/>
      <c r="I644" s="982"/>
      <c r="J644" s="980"/>
      <c r="K644" s="982"/>
      <c r="L644" s="970"/>
      <c r="M644" s="970"/>
      <c r="N644" s="970"/>
      <c r="O644" s="970"/>
      <c r="P644" s="970"/>
      <c r="Q644" s="970"/>
      <c r="R644" s="970"/>
      <c r="S644" s="970"/>
      <c r="T644" s="970"/>
      <c r="U644" s="970"/>
      <c r="V644" s="970"/>
      <c r="W644" s="970"/>
      <c r="X644" s="970"/>
      <c r="Y644" s="970"/>
      <c r="Z644" s="970"/>
      <c r="AA644" s="970"/>
      <c r="AB644" s="970"/>
      <c r="AC644" s="970"/>
      <c r="AD644" s="970"/>
      <c r="AE644" s="970"/>
      <c r="AF644" s="970"/>
      <c r="AG644" s="970"/>
      <c r="AH644" s="970"/>
      <c r="AI644" s="970"/>
      <c r="AJ644" s="970"/>
    </row>
    <row r="645" spans="1:36" s="971" customFormat="1" hidden="1">
      <c r="A645" s="1027" t="s">
        <v>1046</v>
      </c>
      <c r="B645" s="976"/>
      <c r="C645" s="982"/>
      <c r="D645" s="980"/>
      <c r="E645" s="1000"/>
      <c r="F645" s="970"/>
      <c r="G645" s="980"/>
      <c r="H645" s="982"/>
      <c r="I645" s="982"/>
      <c r="J645" s="980"/>
      <c r="K645" s="982"/>
      <c r="L645" s="970"/>
      <c r="M645" s="970"/>
      <c r="N645" s="970"/>
      <c r="O645" s="970"/>
      <c r="P645" s="970"/>
      <c r="Q645" s="970"/>
      <c r="R645" s="970"/>
      <c r="S645" s="970"/>
      <c r="T645" s="970"/>
      <c r="U645" s="970"/>
      <c r="V645" s="970"/>
      <c r="W645" s="970"/>
      <c r="X645" s="970"/>
      <c r="Y645" s="970"/>
      <c r="Z645" s="970"/>
      <c r="AA645" s="970"/>
      <c r="AB645" s="970"/>
      <c r="AC645" s="970"/>
      <c r="AD645" s="970"/>
      <c r="AE645" s="970"/>
      <c r="AF645" s="970"/>
      <c r="AG645" s="970"/>
      <c r="AH645" s="970"/>
      <c r="AI645" s="970"/>
      <c r="AJ645" s="970"/>
    </row>
    <row r="646" spans="1:36" s="971" customFormat="1" hidden="1">
      <c r="A646" s="999" t="s">
        <v>375</v>
      </c>
      <c r="B646" s="976"/>
      <c r="C646" s="1049">
        <v>0</v>
      </c>
      <c r="D646" s="985">
        <v>0</v>
      </c>
      <c r="E646" s="1003" t="s">
        <v>622</v>
      </c>
      <c r="F646" s="970"/>
      <c r="G646" s="980"/>
      <c r="H646" s="982"/>
      <c r="I646" s="982"/>
      <c r="J646" s="980"/>
      <c r="K646" s="982"/>
      <c r="L646" s="970"/>
      <c r="M646" s="970"/>
      <c r="N646" s="970"/>
      <c r="O646" s="970"/>
      <c r="P646" s="970"/>
      <c r="Q646" s="970"/>
      <c r="R646" s="970"/>
      <c r="S646" s="970"/>
      <c r="T646" s="970"/>
      <c r="U646" s="970"/>
      <c r="V646" s="970"/>
      <c r="W646" s="970"/>
      <c r="X646" s="970"/>
      <c r="Y646" s="970"/>
      <c r="Z646" s="970"/>
      <c r="AA646" s="970"/>
      <c r="AB646" s="970"/>
      <c r="AC646" s="970"/>
      <c r="AD646" s="970"/>
      <c r="AE646" s="970"/>
      <c r="AF646" s="970"/>
      <c r="AG646" s="970"/>
      <c r="AH646" s="970"/>
      <c r="AI646" s="970"/>
      <c r="AJ646" s="970"/>
    </row>
    <row r="647" spans="1:36" s="971" customFormat="1" hidden="1">
      <c r="A647" s="1016" t="s">
        <v>373</v>
      </c>
      <c r="B647" s="976"/>
      <c r="C647" s="1049" t="e">
        <v>#N/A</v>
      </c>
      <c r="D647" s="985" t="e">
        <v>#N/A</v>
      </c>
      <c r="E647" s="1003" t="s">
        <v>622</v>
      </c>
      <c r="F647" s="970"/>
      <c r="G647" s="980"/>
      <c r="H647" s="982"/>
      <c r="I647" s="982"/>
      <c r="J647" s="980"/>
      <c r="K647" s="982"/>
      <c r="L647" s="970"/>
      <c r="M647" s="970"/>
      <c r="N647" s="970"/>
      <c r="O647" s="970"/>
      <c r="P647" s="970"/>
      <c r="Q647" s="970"/>
      <c r="R647" s="970"/>
      <c r="S647" s="970"/>
      <c r="T647" s="970"/>
      <c r="U647" s="970"/>
      <c r="V647" s="970"/>
      <c r="W647" s="970"/>
      <c r="X647" s="970"/>
      <c r="Y647" s="970"/>
      <c r="Z647" s="970"/>
      <c r="AA647" s="970"/>
      <c r="AB647" s="970"/>
      <c r="AC647" s="970"/>
      <c r="AD647" s="970"/>
      <c r="AE647" s="970"/>
      <c r="AF647" s="970"/>
      <c r="AG647" s="970"/>
      <c r="AH647" s="970"/>
      <c r="AI647" s="970"/>
      <c r="AJ647" s="970"/>
    </row>
    <row r="648" spans="1:36" s="971" customFormat="1" hidden="1">
      <c r="A648" s="1016" t="s">
        <v>371</v>
      </c>
      <c r="B648" s="976"/>
      <c r="C648" s="981" t="s">
        <v>683</v>
      </c>
      <c r="D648" s="981" t="s">
        <v>684</v>
      </c>
      <c r="E648" s="1065" t="s">
        <v>622</v>
      </c>
      <c r="M648" s="970"/>
      <c r="N648" s="970"/>
      <c r="O648" s="970"/>
      <c r="P648" s="970"/>
      <c r="Q648" s="970"/>
      <c r="R648" s="970"/>
      <c r="S648" s="970"/>
      <c r="T648" s="970"/>
      <c r="U648" s="970"/>
      <c r="V648" s="970"/>
      <c r="W648" s="970"/>
      <c r="X648" s="970"/>
      <c r="Y648" s="970"/>
      <c r="Z648" s="970"/>
      <c r="AA648" s="970"/>
      <c r="AB648" s="970"/>
      <c r="AC648" s="970"/>
      <c r="AD648" s="970"/>
      <c r="AE648" s="970"/>
      <c r="AF648" s="970"/>
      <c r="AG648" s="970"/>
      <c r="AH648" s="970"/>
      <c r="AI648" s="970"/>
      <c r="AJ648" s="970"/>
    </row>
    <row r="649" spans="1:36" s="971" customFormat="1" hidden="1">
      <c r="A649" s="999" t="s">
        <v>687</v>
      </c>
      <c r="B649" s="976"/>
      <c r="C649" s="1014">
        <v>8.0000000000000004E-4</v>
      </c>
      <c r="D649" s="1014">
        <v>1E-3</v>
      </c>
      <c r="E649" s="1065" t="s">
        <v>622</v>
      </c>
      <c r="M649" s="970"/>
      <c r="N649" s="970"/>
      <c r="O649" s="970"/>
      <c r="P649" s="970"/>
      <c r="Q649" s="970"/>
      <c r="R649" s="970"/>
      <c r="S649" s="970"/>
      <c r="T649" s="970"/>
      <c r="U649" s="970"/>
      <c r="V649" s="970"/>
      <c r="W649" s="970"/>
      <c r="X649" s="970"/>
      <c r="Y649" s="970"/>
      <c r="Z649" s="970"/>
      <c r="AA649" s="970"/>
      <c r="AB649" s="970"/>
      <c r="AC649" s="970"/>
      <c r="AD649" s="970"/>
      <c r="AE649" s="970"/>
      <c r="AF649" s="970"/>
      <c r="AG649" s="970"/>
      <c r="AH649" s="970"/>
      <c r="AI649" s="970"/>
      <c r="AJ649" s="970"/>
    </row>
    <row r="650" spans="1:36" s="971" customFormat="1" hidden="1">
      <c r="A650" s="1016" t="s">
        <v>372</v>
      </c>
      <c r="B650" s="976"/>
      <c r="C650" s="987">
        <v>0</v>
      </c>
      <c r="D650" s="985">
        <v>0</v>
      </c>
      <c r="E650" s="1065" t="s">
        <v>622</v>
      </c>
      <c r="M650" s="970"/>
      <c r="N650" s="970"/>
      <c r="O650" s="970"/>
      <c r="P650" s="970"/>
      <c r="Q650" s="970"/>
      <c r="R650" s="970"/>
      <c r="S650" s="970"/>
      <c r="T650" s="970"/>
      <c r="U650" s="970"/>
      <c r="V650" s="970"/>
      <c r="W650" s="970"/>
      <c r="X650" s="970"/>
      <c r="Y650" s="970"/>
      <c r="Z650" s="970"/>
      <c r="AA650" s="970"/>
      <c r="AB650" s="970"/>
      <c r="AC650" s="970"/>
      <c r="AD650" s="970"/>
      <c r="AE650" s="970"/>
      <c r="AF650" s="970"/>
      <c r="AG650" s="970"/>
      <c r="AH650" s="970"/>
      <c r="AI650" s="970"/>
      <c r="AJ650" s="970"/>
    </row>
    <row r="651" spans="1:36" s="971" customFormat="1" hidden="1">
      <c r="A651" s="1066"/>
      <c r="B651" s="1031"/>
      <c r="C651" s="1067"/>
      <c r="D651" s="1068"/>
      <c r="E651" s="1069"/>
      <c r="F651" s="970"/>
      <c r="G651" s="980"/>
      <c r="H651" s="982"/>
      <c r="I651" s="982"/>
      <c r="J651" s="980"/>
      <c r="K651" s="982"/>
      <c r="L651" s="970"/>
      <c r="M651" s="970"/>
      <c r="N651" s="970"/>
      <c r="O651" s="970"/>
      <c r="P651" s="970"/>
      <c r="Q651" s="970"/>
      <c r="R651" s="970"/>
      <c r="S651" s="970"/>
      <c r="T651" s="970"/>
      <c r="U651" s="970"/>
      <c r="V651" s="970"/>
      <c r="W651" s="970"/>
      <c r="X651" s="970"/>
      <c r="Y651" s="970"/>
      <c r="Z651" s="970"/>
      <c r="AA651" s="970"/>
      <c r="AB651" s="970"/>
      <c r="AC651" s="970"/>
      <c r="AD651" s="970"/>
      <c r="AE651" s="970"/>
      <c r="AF651" s="970"/>
      <c r="AG651" s="970"/>
      <c r="AH651" s="970"/>
      <c r="AI651" s="970"/>
      <c r="AJ651" s="970"/>
    </row>
    <row r="652" spans="1:36" s="971" customFormat="1" hidden="1">
      <c r="A652" s="1070"/>
      <c r="B652" s="976"/>
      <c r="C652" s="982"/>
      <c r="D652" s="980"/>
      <c r="E652" s="982"/>
      <c r="F652" s="970"/>
      <c r="G652" s="980"/>
      <c r="H652" s="982"/>
      <c r="I652" s="982"/>
      <c r="J652" s="980"/>
      <c r="K652" s="982"/>
      <c r="L652" s="970"/>
      <c r="M652" s="970"/>
      <c r="N652" s="970"/>
      <c r="O652" s="970"/>
      <c r="P652" s="970"/>
      <c r="Q652" s="970"/>
      <c r="R652" s="970"/>
      <c r="S652" s="970"/>
      <c r="T652" s="970"/>
      <c r="U652" s="970"/>
      <c r="V652" s="970"/>
      <c r="W652" s="970"/>
      <c r="X652" s="970"/>
      <c r="Y652" s="970"/>
      <c r="Z652" s="970"/>
      <c r="AA652" s="970"/>
      <c r="AB652" s="970"/>
      <c r="AC652" s="970"/>
      <c r="AD652" s="970"/>
      <c r="AE652" s="970"/>
      <c r="AF652" s="970"/>
      <c r="AG652" s="970"/>
      <c r="AH652" s="970"/>
      <c r="AI652" s="970"/>
      <c r="AJ652" s="970"/>
    </row>
    <row r="653" spans="1:36" s="971" customFormat="1" hidden="1">
      <c r="A653" s="1070"/>
      <c r="B653" s="976"/>
      <c r="C653" s="982"/>
      <c r="D653" s="980"/>
      <c r="E653" s="982"/>
      <c r="F653" s="970"/>
      <c r="G653" s="980"/>
      <c r="H653" s="982"/>
      <c r="I653" s="982"/>
      <c r="J653" s="980"/>
      <c r="K653" s="982"/>
      <c r="L653" s="970"/>
      <c r="M653" s="970"/>
      <c r="N653" s="970"/>
      <c r="O653" s="970"/>
      <c r="P653" s="970"/>
      <c r="Q653" s="970"/>
      <c r="R653" s="970"/>
      <c r="S653" s="970"/>
      <c r="T653" s="970"/>
      <c r="U653" s="970"/>
      <c r="V653" s="970"/>
      <c r="W653" s="970"/>
      <c r="X653" s="970"/>
      <c r="Y653" s="970"/>
      <c r="Z653" s="970"/>
      <c r="AA653" s="970"/>
      <c r="AB653" s="970"/>
      <c r="AC653" s="970"/>
      <c r="AD653" s="970"/>
      <c r="AE653" s="970"/>
      <c r="AF653" s="970"/>
      <c r="AG653" s="970"/>
      <c r="AH653" s="970"/>
      <c r="AI653" s="970"/>
      <c r="AJ653" s="970"/>
    </row>
    <row r="654" spans="1:36" s="971" customFormat="1" ht="15.75" hidden="1">
      <c r="A654" s="1071"/>
      <c r="B654" s="976"/>
      <c r="C654" s="1072"/>
      <c r="D654" s="976"/>
      <c r="E654" s="975"/>
      <c r="F654" s="970"/>
      <c r="G654" s="982"/>
      <c r="H654" s="970"/>
      <c r="I654" s="970"/>
      <c r="J654" s="970"/>
      <c r="K654" s="970"/>
      <c r="L654" s="970"/>
      <c r="M654" s="970"/>
      <c r="N654" s="970"/>
      <c r="O654" s="970"/>
      <c r="P654" s="970"/>
      <c r="Q654" s="970"/>
      <c r="R654" s="970"/>
      <c r="S654" s="970"/>
      <c r="T654" s="970"/>
      <c r="U654" s="970"/>
      <c r="V654" s="970"/>
      <c r="W654" s="970"/>
      <c r="X654" s="970"/>
      <c r="Y654" s="970"/>
      <c r="Z654" s="970"/>
      <c r="AA654" s="970"/>
      <c r="AB654" s="970"/>
      <c r="AC654" s="970"/>
      <c r="AD654" s="970"/>
      <c r="AE654" s="970"/>
      <c r="AF654" s="970"/>
      <c r="AG654" s="970"/>
      <c r="AH654" s="970"/>
      <c r="AI654" s="970"/>
      <c r="AJ654" s="970"/>
    </row>
    <row r="655" spans="1:36" s="971" customFormat="1" ht="15.75">
      <c r="A655" s="989" t="s">
        <v>354</v>
      </c>
      <c r="B655" s="990"/>
      <c r="C655" s="1039" t="s">
        <v>762</v>
      </c>
      <c r="D655" s="1040" t="s">
        <v>763</v>
      </c>
      <c r="E655" s="1039" t="s">
        <v>355</v>
      </c>
      <c r="F655" s="1039" t="s">
        <v>356</v>
      </c>
      <c r="G655" s="1073" t="s">
        <v>357</v>
      </c>
      <c r="H655" s="1044"/>
      <c r="I655" s="994"/>
      <c r="J655" s="1045"/>
      <c r="K655" s="970"/>
      <c r="L655" s="970"/>
      <c r="M655" s="970"/>
      <c r="N655" s="970"/>
      <c r="O655" s="970"/>
      <c r="P655" s="970"/>
      <c r="Q655" s="970"/>
      <c r="R655" s="970"/>
      <c r="S655" s="970"/>
      <c r="T655" s="970"/>
      <c r="U655" s="970"/>
      <c r="V655" s="970"/>
      <c r="W655" s="970"/>
      <c r="X655" s="970"/>
      <c r="Y655" s="970"/>
      <c r="Z655" s="970"/>
      <c r="AA655" s="970"/>
      <c r="AB655" s="970"/>
      <c r="AC655" s="970"/>
      <c r="AD655" s="970"/>
      <c r="AE655" s="970"/>
      <c r="AF655" s="970"/>
      <c r="AG655" s="970"/>
      <c r="AH655" s="970"/>
      <c r="AI655" s="970"/>
    </row>
    <row r="656" spans="1:36" s="971" customFormat="1" ht="15.75">
      <c r="A656" s="1046"/>
      <c r="B656" s="976"/>
      <c r="C656" s="994"/>
      <c r="D656" s="994"/>
      <c r="E656" s="1045"/>
      <c r="F656" s="1045"/>
      <c r="G656" s="1047"/>
      <c r="H656" s="1044"/>
      <c r="I656" s="994"/>
      <c r="J656" s="1045"/>
      <c r="K656" s="970"/>
      <c r="L656" s="970"/>
      <c r="M656" s="970"/>
      <c r="N656" s="970"/>
      <c r="O656" s="970"/>
      <c r="P656" s="970"/>
      <c r="Q656" s="970"/>
      <c r="R656" s="970"/>
      <c r="S656" s="970"/>
      <c r="T656" s="970"/>
      <c r="U656" s="970"/>
      <c r="V656" s="970"/>
      <c r="W656" s="970"/>
      <c r="X656" s="970"/>
      <c r="Y656" s="970"/>
      <c r="Z656" s="970"/>
      <c r="AA656" s="970"/>
      <c r="AB656" s="970"/>
      <c r="AC656" s="970"/>
      <c r="AD656" s="970"/>
      <c r="AE656" s="970"/>
      <c r="AF656" s="970"/>
      <c r="AG656" s="970"/>
      <c r="AH656" s="970"/>
      <c r="AI656" s="970"/>
    </row>
    <row r="657" spans="1:35" s="971" customFormat="1">
      <c r="A657" s="999" t="s">
        <v>408</v>
      </c>
      <c r="B657" s="976"/>
      <c r="C657" s="980" t="s">
        <v>358</v>
      </c>
      <c r="D657" s="980" t="s">
        <v>359</v>
      </c>
      <c r="E657" s="980" t="s">
        <v>360</v>
      </c>
      <c r="F657" s="980" t="s">
        <v>1092</v>
      </c>
      <c r="G657" s="1026" t="s">
        <v>1093</v>
      </c>
      <c r="H657" s="980"/>
      <c r="I657" s="980"/>
      <c r="J657" s="970"/>
      <c r="L657" s="970"/>
      <c r="M657" s="970"/>
      <c r="N657" s="970"/>
      <c r="O657" s="970"/>
      <c r="P657" s="970"/>
      <c r="Q657" s="970"/>
      <c r="R657" s="970"/>
      <c r="S657" s="970"/>
      <c r="T657" s="970"/>
      <c r="U657" s="970"/>
      <c r="V657" s="970"/>
      <c r="W657" s="970"/>
      <c r="X657" s="970"/>
      <c r="Y657" s="970"/>
      <c r="Z657" s="970"/>
      <c r="AA657" s="970"/>
      <c r="AB657" s="970"/>
      <c r="AC657" s="970"/>
      <c r="AD657" s="970"/>
      <c r="AE657" s="970"/>
      <c r="AF657" s="970"/>
      <c r="AG657" s="970"/>
      <c r="AH657" s="970"/>
      <c r="AI657" s="970"/>
    </row>
    <row r="658" spans="1:35" s="971" customFormat="1">
      <c r="A658" s="999" t="s">
        <v>416</v>
      </c>
      <c r="B658" s="1048"/>
      <c r="C658" s="982" t="s">
        <v>361</v>
      </c>
      <c r="D658" s="1036" t="s">
        <v>362</v>
      </c>
      <c r="E658" s="982" t="s">
        <v>363</v>
      </c>
      <c r="F658" s="982">
        <v>70555344</v>
      </c>
      <c r="G658" s="1000">
        <v>70555697</v>
      </c>
      <c r="H658" s="982"/>
      <c r="I658" s="1036"/>
      <c r="J658" s="982"/>
      <c r="K658" s="970"/>
      <c r="L658" s="970"/>
      <c r="M658" s="970"/>
      <c r="N658" s="970"/>
      <c r="O658" s="970"/>
      <c r="P658" s="970"/>
      <c r="Q658" s="970"/>
      <c r="R658" s="970"/>
      <c r="S658" s="970"/>
      <c r="T658" s="970"/>
      <c r="U658" s="970"/>
      <c r="V658" s="970"/>
      <c r="W658" s="970"/>
      <c r="X658" s="970"/>
      <c r="Y658" s="970"/>
      <c r="Z658" s="970"/>
      <c r="AA658" s="970"/>
      <c r="AB658" s="970"/>
      <c r="AC658" s="970"/>
      <c r="AD658" s="970"/>
      <c r="AE658" s="970"/>
      <c r="AF658" s="970"/>
      <c r="AG658" s="970"/>
      <c r="AH658" s="970"/>
      <c r="AI658" s="970"/>
    </row>
    <row r="659" spans="1:35" s="971" customFormat="1">
      <c r="A659" s="999" t="s">
        <v>212</v>
      </c>
      <c r="B659" s="1048"/>
      <c r="C659" s="1001">
        <v>40868</v>
      </c>
      <c r="D659" s="1001">
        <v>40868</v>
      </c>
      <c r="E659" s="1001">
        <v>40868</v>
      </c>
      <c r="F659" s="1001">
        <v>40868</v>
      </c>
      <c r="G659" s="1002">
        <v>40868</v>
      </c>
      <c r="H659" s="1001"/>
      <c r="I659" s="1001"/>
      <c r="J659" s="1001"/>
      <c r="K659" s="970"/>
      <c r="L659" s="970"/>
      <c r="M659" s="970"/>
      <c r="N659" s="970"/>
      <c r="O659" s="970"/>
      <c r="P659" s="970"/>
      <c r="Q659" s="970"/>
      <c r="R659" s="970"/>
      <c r="S659" s="970"/>
      <c r="T659" s="970"/>
      <c r="U659" s="970"/>
      <c r="V659" s="970"/>
      <c r="W659" s="970"/>
      <c r="X659" s="970"/>
      <c r="Y659" s="970"/>
      <c r="Z659" s="970"/>
      <c r="AA659" s="970"/>
      <c r="AB659" s="970"/>
      <c r="AC659" s="970"/>
      <c r="AD659" s="970"/>
      <c r="AE659" s="970"/>
      <c r="AF659" s="970"/>
      <c r="AG659" s="970"/>
      <c r="AH659" s="970"/>
      <c r="AI659" s="970"/>
    </row>
    <row r="660" spans="1:35" s="971" customFormat="1">
      <c r="A660" s="999" t="s">
        <v>675</v>
      </c>
      <c r="B660" s="976"/>
      <c r="C660" s="987">
        <v>2400000000</v>
      </c>
      <c r="D660" s="985">
        <v>400000000</v>
      </c>
      <c r="E660" s="986">
        <v>220000000</v>
      </c>
      <c r="F660" s="986">
        <v>657000000</v>
      </c>
      <c r="G660" s="1003">
        <v>67000000</v>
      </c>
      <c r="H660" s="987"/>
      <c r="I660" s="985"/>
      <c r="J660" s="986"/>
      <c r="K660" s="970"/>
      <c r="L660" s="970"/>
      <c r="M660" s="970"/>
      <c r="N660" s="970"/>
      <c r="O660" s="970"/>
      <c r="P660" s="970"/>
      <c r="Q660" s="970"/>
      <c r="R660" s="970"/>
      <c r="S660" s="970"/>
      <c r="T660" s="970"/>
      <c r="U660" s="970"/>
      <c r="V660" s="970"/>
      <c r="W660" s="970"/>
      <c r="X660" s="970"/>
      <c r="Y660" s="970"/>
      <c r="Z660" s="970"/>
      <c r="AA660" s="970"/>
      <c r="AB660" s="970"/>
      <c r="AC660" s="970"/>
      <c r="AD660" s="970"/>
      <c r="AE660" s="970"/>
      <c r="AF660" s="970"/>
      <c r="AG660" s="970"/>
      <c r="AH660" s="970"/>
      <c r="AI660" s="970"/>
    </row>
    <row r="661" spans="1:35" s="971" customFormat="1">
      <c r="A661" s="999" t="s">
        <v>676</v>
      </c>
      <c r="B661" s="976"/>
      <c r="C661" s="987">
        <v>2400000000</v>
      </c>
      <c r="D661" s="985">
        <v>400000000</v>
      </c>
      <c r="E661" s="1074">
        <v>220000000</v>
      </c>
      <c r="F661" s="986">
        <v>657000000</v>
      </c>
      <c r="G661" s="1003">
        <v>67000000</v>
      </c>
      <c r="H661" s="1049"/>
      <c r="I661" s="985"/>
      <c r="J661" s="986"/>
      <c r="K661" s="970"/>
      <c r="L661" s="970"/>
      <c r="M661" s="970"/>
      <c r="N661" s="970"/>
      <c r="O661" s="970"/>
      <c r="P661" s="970"/>
      <c r="Q661" s="970"/>
      <c r="R661" s="970"/>
      <c r="S661" s="970"/>
      <c r="T661" s="970"/>
      <c r="U661" s="970"/>
      <c r="V661" s="970"/>
      <c r="W661" s="970"/>
      <c r="X661" s="970"/>
      <c r="Y661" s="970"/>
      <c r="Z661" s="970"/>
      <c r="AA661" s="970"/>
      <c r="AB661" s="970"/>
      <c r="AC661" s="970"/>
      <c r="AD661" s="970"/>
      <c r="AE661" s="970"/>
      <c r="AF661" s="970"/>
      <c r="AG661" s="970"/>
      <c r="AH661" s="970"/>
      <c r="AI661" s="970"/>
    </row>
    <row r="662" spans="1:35" s="971" customFormat="1">
      <c r="A662" s="999" t="s">
        <v>907</v>
      </c>
      <c r="B662" s="976"/>
      <c r="C662" s="987">
        <v>114977011.83</v>
      </c>
      <c r="D662" s="985">
        <v>19162835.309999999</v>
      </c>
      <c r="E662" s="986">
        <v>0</v>
      </c>
      <c r="F662" s="986">
        <v>0</v>
      </c>
      <c r="G662" s="1003">
        <v>0</v>
      </c>
      <c r="H662" s="987"/>
      <c r="I662" s="985"/>
      <c r="J662" s="986"/>
      <c r="K662" s="1053"/>
      <c r="L662" s="970"/>
      <c r="M662" s="970"/>
      <c r="N662" s="970"/>
      <c r="O662" s="970"/>
      <c r="P662" s="970"/>
      <c r="Q662" s="970"/>
      <c r="R662" s="970"/>
      <c r="S662" s="970"/>
      <c r="T662" s="970"/>
      <c r="U662" s="970"/>
      <c r="V662" s="970"/>
      <c r="W662" s="970"/>
      <c r="X662" s="970"/>
      <c r="Y662" s="970"/>
      <c r="Z662" s="970"/>
      <c r="AA662" s="970"/>
      <c r="AB662" s="970"/>
      <c r="AC662" s="970"/>
      <c r="AD662" s="970"/>
      <c r="AE662" s="970"/>
      <c r="AF662" s="970"/>
      <c r="AG662" s="970"/>
      <c r="AH662" s="970"/>
      <c r="AI662" s="970"/>
    </row>
    <row r="663" spans="1:35" s="971" customFormat="1">
      <c r="A663" s="999" t="s">
        <v>677</v>
      </c>
      <c r="B663" s="976"/>
      <c r="C663" s="987">
        <v>2285022988.1700001</v>
      </c>
      <c r="D663" s="985">
        <v>380837164.69</v>
      </c>
      <c r="E663" s="986">
        <v>220000000</v>
      </c>
      <c r="F663" s="986">
        <v>657000000</v>
      </c>
      <c r="G663" s="1003">
        <v>67000000</v>
      </c>
      <c r="H663" s="987"/>
      <c r="I663" s="985"/>
      <c r="J663" s="986"/>
      <c r="K663" s="970"/>
      <c r="L663" s="970"/>
      <c r="M663" s="970"/>
      <c r="N663" s="970"/>
      <c r="O663" s="970"/>
      <c r="P663" s="970"/>
      <c r="Q663" s="970"/>
      <c r="R663" s="970"/>
      <c r="S663" s="970"/>
      <c r="T663" s="970"/>
      <c r="U663" s="970"/>
      <c r="V663" s="970"/>
      <c r="W663" s="970"/>
      <c r="X663" s="970"/>
      <c r="Y663" s="970"/>
      <c r="Z663" s="970"/>
      <c r="AA663" s="970"/>
      <c r="AB663" s="970"/>
      <c r="AC663" s="970"/>
      <c r="AD663" s="970"/>
      <c r="AE663" s="970"/>
      <c r="AF663" s="970"/>
      <c r="AG663" s="970"/>
      <c r="AH663" s="970"/>
      <c r="AI663" s="970"/>
    </row>
    <row r="664" spans="1:35" s="971" customFormat="1">
      <c r="A664" s="999" t="s">
        <v>215</v>
      </c>
      <c r="B664" s="976"/>
      <c r="C664" s="1007">
        <v>1.591</v>
      </c>
      <c r="D664" s="1007">
        <v>1.171</v>
      </c>
      <c r="E664" s="1007">
        <v>1</v>
      </c>
      <c r="F664" s="1007">
        <v>1</v>
      </c>
      <c r="G664" s="1008">
        <v>1</v>
      </c>
      <c r="H664" s="1007"/>
      <c r="I664" s="1007"/>
      <c r="J664" s="1007"/>
      <c r="K664" s="1007"/>
      <c r="L664" s="970"/>
      <c r="M664" s="970"/>
      <c r="N664" s="970"/>
      <c r="O664" s="970"/>
      <c r="P664" s="970"/>
      <c r="Q664" s="970"/>
      <c r="R664" s="970"/>
      <c r="S664" s="970"/>
      <c r="T664" s="970"/>
      <c r="U664" s="970"/>
      <c r="V664" s="970"/>
      <c r="W664" s="970"/>
      <c r="X664" s="970"/>
      <c r="Y664" s="970"/>
      <c r="Z664" s="970"/>
      <c r="AA664" s="970"/>
      <c r="AB664" s="970"/>
      <c r="AC664" s="970"/>
      <c r="AD664" s="970"/>
      <c r="AE664" s="970"/>
      <c r="AF664" s="970"/>
      <c r="AG664" s="970"/>
      <c r="AH664" s="970"/>
      <c r="AI664" s="970"/>
    </row>
    <row r="665" spans="1:35" s="971" customFormat="1">
      <c r="A665" s="999" t="s">
        <v>402</v>
      </c>
      <c r="B665" s="976"/>
      <c r="C665" s="1007">
        <v>1</v>
      </c>
      <c r="D665" s="1007">
        <v>1</v>
      </c>
      <c r="E665" s="1007">
        <v>1</v>
      </c>
      <c r="F665" s="1007">
        <v>1</v>
      </c>
      <c r="G665" s="1008">
        <v>1</v>
      </c>
      <c r="H665" s="1007"/>
      <c r="I665" s="1007"/>
      <c r="J665" s="1007"/>
      <c r="K665" s="970"/>
      <c r="L665" s="970"/>
      <c r="M665" s="970"/>
      <c r="N665" s="970"/>
      <c r="O665" s="970"/>
      <c r="P665" s="970"/>
      <c r="Q665" s="970"/>
      <c r="R665" s="970"/>
      <c r="S665" s="970"/>
      <c r="T665" s="970"/>
      <c r="U665" s="970"/>
      <c r="V665" s="970"/>
      <c r="W665" s="970"/>
      <c r="X665" s="970"/>
      <c r="Y665" s="970"/>
      <c r="Z665" s="970"/>
      <c r="AA665" s="970"/>
      <c r="AB665" s="970"/>
      <c r="AC665" s="970"/>
      <c r="AD665" s="970"/>
      <c r="AE665" s="970"/>
      <c r="AF665" s="970"/>
      <c r="AG665" s="970"/>
      <c r="AH665" s="970"/>
      <c r="AI665" s="970"/>
    </row>
    <row r="666" spans="1:35" s="971" customFormat="1">
      <c r="A666" s="999" t="s">
        <v>403</v>
      </c>
      <c r="B666" s="976"/>
      <c r="C666" s="1007">
        <v>0.9520929117375001</v>
      </c>
      <c r="D666" s="1007">
        <v>0.95209291172499999</v>
      </c>
      <c r="E666" s="1007">
        <v>1</v>
      </c>
      <c r="F666" s="1007">
        <v>1</v>
      </c>
      <c r="G666" s="1008">
        <v>1</v>
      </c>
      <c r="H666" s="1007"/>
      <c r="I666" s="1007"/>
      <c r="J666" s="1007"/>
      <c r="K666" s="970"/>
      <c r="L666" s="970"/>
      <c r="M666" s="970"/>
      <c r="N666" s="970"/>
      <c r="O666" s="970"/>
      <c r="P666" s="970"/>
      <c r="Q666" s="970"/>
      <c r="R666" s="970"/>
      <c r="S666" s="970"/>
      <c r="T666" s="970"/>
      <c r="U666" s="970"/>
      <c r="V666" s="970"/>
      <c r="W666" s="970"/>
      <c r="X666" s="970"/>
      <c r="Y666" s="970"/>
      <c r="Z666" s="970"/>
      <c r="AA666" s="970"/>
      <c r="AB666" s="970"/>
      <c r="AC666" s="970"/>
      <c r="AD666" s="970"/>
      <c r="AE666" s="970"/>
      <c r="AF666" s="970"/>
      <c r="AG666" s="970"/>
      <c r="AH666" s="970"/>
      <c r="AI666" s="970"/>
    </row>
    <row r="667" spans="1:35" s="971" customFormat="1">
      <c r="A667" s="999" t="s">
        <v>678</v>
      </c>
      <c r="B667" s="976"/>
      <c r="C667" s="987">
        <v>114977011.83</v>
      </c>
      <c r="D667" s="985">
        <v>19162835.309999999</v>
      </c>
      <c r="E667" s="986">
        <v>0</v>
      </c>
      <c r="F667" s="986">
        <v>0</v>
      </c>
      <c r="G667" s="1003">
        <v>0</v>
      </c>
      <c r="H667" s="987"/>
      <c r="I667" s="985"/>
      <c r="J667" s="986"/>
      <c r="K667" s="970"/>
      <c r="L667" s="970"/>
      <c r="M667" s="970"/>
      <c r="N667" s="970"/>
      <c r="O667" s="970"/>
      <c r="P667" s="970"/>
      <c r="Q667" s="970"/>
      <c r="R667" s="970"/>
      <c r="S667" s="970"/>
      <c r="T667" s="970"/>
      <c r="U667" s="970"/>
      <c r="V667" s="970"/>
      <c r="W667" s="970"/>
      <c r="X667" s="970"/>
      <c r="Y667" s="970"/>
      <c r="Z667" s="970"/>
      <c r="AA667" s="970"/>
      <c r="AB667" s="970"/>
      <c r="AC667" s="970"/>
      <c r="AD667" s="970"/>
      <c r="AE667" s="970"/>
      <c r="AF667" s="970"/>
      <c r="AG667" s="970"/>
      <c r="AH667" s="970"/>
      <c r="AI667" s="970"/>
    </row>
    <row r="668" spans="1:35" s="971" customFormat="1">
      <c r="A668" s="999" t="s">
        <v>679</v>
      </c>
      <c r="B668" s="976"/>
      <c r="C668" s="987">
        <v>2285022988.1664519</v>
      </c>
      <c r="D668" s="985">
        <v>380837164.69440871</v>
      </c>
      <c r="E668" s="986">
        <v>220000000</v>
      </c>
      <c r="F668" s="986">
        <v>657000000</v>
      </c>
      <c r="G668" s="1003">
        <v>67000000</v>
      </c>
      <c r="H668" s="987"/>
      <c r="I668" s="985"/>
      <c r="J668" s="986"/>
      <c r="K668" s="970"/>
      <c r="L668" s="970"/>
      <c r="M668" s="970"/>
      <c r="N668" s="970"/>
      <c r="O668" s="970"/>
      <c r="P668" s="970"/>
      <c r="Q668" s="970"/>
      <c r="R668" s="970"/>
      <c r="S668" s="970"/>
      <c r="T668" s="970"/>
      <c r="U668" s="970"/>
      <c r="V668" s="970"/>
      <c r="W668" s="970"/>
      <c r="X668" s="970"/>
      <c r="Y668" s="970"/>
      <c r="Z668" s="970"/>
      <c r="AA668" s="970"/>
      <c r="AB668" s="970"/>
      <c r="AC668" s="970"/>
      <c r="AD668" s="970"/>
      <c r="AE668" s="970"/>
      <c r="AF668" s="970"/>
      <c r="AG668" s="970"/>
      <c r="AH668" s="970"/>
      <c r="AI668" s="970"/>
    </row>
    <row r="669" spans="1:35" s="971" customFormat="1">
      <c r="A669" s="999" t="s">
        <v>680</v>
      </c>
      <c r="B669" s="976"/>
      <c r="C669" s="987">
        <v>0</v>
      </c>
      <c r="D669" s="985">
        <v>0</v>
      </c>
      <c r="E669" s="986">
        <v>0</v>
      </c>
      <c r="F669" s="986">
        <v>0</v>
      </c>
      <c r="G669" s="1003">
        <v>0</v>
      </c>
      <c r="H669" s="987"/>
      <c r="I669" s="985"/>
      <c r="J669" s="986"/>
      <c r="K669" s="970"/>
      <c r="L669" s="970"/>
      <c r="M669" s="970"/>
      <c r="N669" s="970"/>
      <c r="O669" s="970"/>
      <c r="P669" s="970"/>
      <c r="Q669" s="970"/>
      <c r="R669" s="970"/>
      <c r="S669" s="970"/>
      <c r="T669" s="970"/>
      <c r="U669" s="970"/>
      <c r="V669" s="970"/>
      <c r="W669" s="970"/>
      <c r="X669" s="970"/>
      <c r="Y669" s="970"/>
      <c r="Z669" s="970"/>
      <c r="AA669" s="970"/>
      <c r="AB669" s="970"/>
      <c r="AC669" s="970"/>
      <c r="AD669" s="970"/>
      <c r="AE669" s="970"/>
      <c r="AF669" s="970"/>
      <c r="AG669" s="970"/>
      <c r="AH669" s="970"/>
      <c r="AI669" s="970"/>
    </row>
    <row r="670" spans="1:35" s="971" customFormat="1">
      <c r="A670" s="1054" t="s">
        <v>121</v>
      </c>
      <c r="B670" s="1055"/>
      <c r="C670" s="987">
        <v>3.5481452941894531E-3</v>
      </c>
      <c r="D670" s="985">
        <v>-4.408717155456543E-3</v>
      </c>
      <c r="E670" s="986">
        <v>0</v>
      </c>
      <c r="F670" s="986">
        <v>0</v>
      </c>
      <c r="G670" s="1003">
        <v>0</v>
      </c>
      <c r="H670" s="987"/>
      <c r="I670" s="985"/>
      <c r="J670" s="986"/>
      <c r="K670" s="970"/>
      <c r="L670" s="970"/>
      <c r="M670" s="970"/>
      <c r="N670" s="970"/>
      <c r="O670" s="970"/>
      <c r="P670" s="970"/>
      <c r="Q670" s="970"/>
      <c r="R670" s="970"/>
      <c r="S670" s="970"/>
      <c r="T670" s="970"/>
      <c r="U670" s="970"/>
      <c r="V670" s="970"/>
      <c r="W670" s="970"/>
      <c r="X670" s="970"/>
      <c r="Y670" s="970"/>
      <c r="Z670" s="970"/>
      <c r="AA670" s="970"/>
      <c r="AB670" s="970"/>
      <c r="AC670" s="970"/>
      <c r="AD670" s="970"/>
      <c r="AE670" s="970"/>
      <c r="AF670" s="970"/>
      <c r="AG670" s="970"/>
      <c r="AH670" s="970"/>
      <c r="AI670" s="970"/>
    </row>
    <row r="671" spans="1:35" s="971" customFormat="1">
      <c r="A671" s="999" t="s">
        <v>757</v>
      </c>
      <c r="B671" s="976"/>
      <c r="C671" s="987" t="s">
        <v>681</v>
      </c>
      <c r="D671" s="987" t="s">
        <v>681</v>
      </c>
      <c r="E671" s="987" t="s">
        <v>681</v>
      </c>
      <c r="F671" s="982" t="s">
        <v>430</v>
      </c>
      <c r="G671" s="1000" t="s">
        <v>430</v>
      </c>
      <c r="H671" s="987"/>
      <c r="I671" s="987"/>
      <c r="J671" s="982"/>
      <c r="K671" s="970"/>
      <c r="L671" s="970"/>
      <c r="M671" s="970"/>
      <c r="N671" s="970"/>
      <c r="O671" s="970"/>
      <c r="P671" s="970"/>
      <c r="Q671" s="970"/>
      <c r="R671" s="970"/>
      <c r="S671" s="970"/>
      <c r="T671" s="970"/>
      <c r="U671" s="970"/>
      <c r="V671" s="970"/>
      <c r="W671" s="970"/>
      <c r="X671" s="970"/>
      <c r="Y671" s="970"/>
      <c r="Z671" s="970"/>
      <c r="AA671" s="970"/>
      <c r="AB671" s="970"/>
      <c r="AC671" s="970"/>
      <c r="AD671" s="970"/>
      <c r="AE671" s="970"/>
      <c r="AF671" s="970"/>
      <c r="AG671" s="970"/>
      <c r="AH671" s="970"/>
      <c r="AI671" s="970"/>
    </row>
    <row r="672" spans="1:35" s="971" customFormat="1">
      <c r="A672" s="999" t="s">
        <v>682</v>
      </c>
      <c r="B672" s="976"/>
      <c r="C672" s="1012" t="s">
        <v>683</v>
      </c>
      <c r="D672" s="1012" t="s">
        <v>684</v>
      </c>
      <c r="E672" s="1012" t="s">
        <v>685</v>
      </c>
      <c r="F672" s="1012" t="s">
        <v>685</v>
      </c>
      <c r="G672" s="1013" t="s">
        <v>685</v>
      </c>
      <c r="H672" s="1012"/>
      <c r="I672" s="1012"/>
      <c r="J672" s="1012"/>
      <c r="K672" s="970"/>
      <c r="L672" s="970"/>
      <c r="M672" s="970"/>
      <c r="N672" s="970"/>
      <c r="O672" s="970"/>
      <c r="P672" s="970"/>
      <c r="Q672" s="970"/>
      <c r="R672" s="970"/>
      <c r="S672" s="970"/>
      <c r="T672" s="970"/>
      <c r="U672" s="970"/>
      <c r="V672" s="970"/>
      <c r="W672" s="970"/>
      <c r="X672" s="970"/>
      <c r="Y672" s="970"/>
      <c r="Z672" s="970"/>
      <c r="AA672" s="970"/>
      <c r="AB672" s="970"/>
      <c r="AC672" s="970"/>
      <c r="AD672" s="970"/>
      <c r="AE672" s="970"/>
      <c r="AF672" s="970"/>
      <c r="AG672" s="970"/>
      <c r="AH672" s="970"/>
      <c r="AI672" s="970"/>
    </row>
    <row r="673" spans="1:39" s="971" customFormat="1">
      <c r="A673" s="999" t="s">
        <v>686</v>
      </c>
      <c r="B673" s="976"/>
      <c r="C673" s="1014">
        <v>3.1150000000000001E-3</v>
      </c>
      <c r="D673" s="1014">
        <v>1.91E-3</v>
      </c>
      <c r="E673" s="1014">
        <v>5.2313000000000004E-3</v>
      </c>
      <c r="F673" s="1014">
        <v>5.2313000000000004E-3</v>
      </c>
      <c r="G673" s="1015">
        <v>5.2313000000000004E-3</v>
      </c>
      <c r="H673" s="1148"/>
      <c r="I673" s="1014"/>
      <c r="J673" s="1014"/>
      <c r="K673" s="970"/>
      <c r="L673" s="970"/>
      <c r="M673" s="970"/>
      <c r="N673" s="970"/>
      <c r="O673" s="970"/>
      <c r="P673" s="970"/>
      <c r="Q673" s="970"/>
      <c r="R673" s="970"/>
      <c r="S673" s="970"/>
      <c r="T673" s="970"/>
      <c r="U673" s="970"/>
      <c r="V673" s="970"/>
      <c r="W673" s="970"/>
      <c r="X673" s="970"/>
      <c r="Y673" s="970"/>
      <c r="Z673" s="970"/>
      <c r="AA673" s="970"/>
      <c r="AB673" s="970"/>
      <c r="AC673" s="970"/>
      <c r="AD673" s="970"/>
      <c r="AE673" s="970"/>
      <c r="AF673" s="970"/>
      <c r="AG673" s="970"/>
      <c r="AH673" s="970"/>
      <c r="AI673" s="970"/>
    </row>
    <row r="674" spans="1:39" s="971" customFormat="1">
      <c r="A674" s="999" t="s">
        <v>687</v>
      </c>
      <c r="B674" s="976"/>
      <c r="C674" s="1014">
        <v>1.55E-2</v>
      </c>
      <c r="D674" s="1014">
        <v>1.4999999999999999E-2</v>
      </c>
      <c r="E674" s="1014">
        <v>1.6500000000000001E-2</v>
      </c>
      <c r="F674" s="1014">
        <v>8.9999999999999993E-3</v>
      </c>
      <c r="G674" s="1015">
        <v>8.9999999999999993E-3</v>
      </c>
      <c r="H674" s="1014"/>
      <c r="I674" s="1014"/>
      <c r="J674" s="1014"/>
      <c r="K674" s="970"/>
      <c r="L674" s="970"/>
      <c r="M674" s="970"/>
      <c r="N674" s="970"/>
      <c r="O674" s="970"/>
      <c r="P674" s="970"/>
      <c r="Q674" s="970"/>
      <c r="R674" s="970"/>
      <c r="S674" s="970"/>
      <c r="T674" s="970"/>
      <c r="U674" s="970"/>
      <c r="V674" s="970"/>
      <c r="W674" s="970"/>
      <c r="X674" s="970"/>
      <c r="Y674" s="970"/>
      <c r="Z674" s="970"/>
      <c r="AA674" s="970"/>
      <c r="AB674" s="970"/>
      <c r="AC674" s="970"/>
      <c r="AD674" s="970"/>
      <c r="AE674" s="970"/>
      <c r="AF674" s="970"/>
      <c r="AG674" s="970"/>
      <c r="AH674" s="970"/>
      <c r="AI674" s="970"/>
    </row>
    <row r="675" spans="1:39" s="971" customFormat="1">
      <c r="A675" s="999" t="s">
        <v>909</v>
      </c>
      <c r="B675" s="976"/>
      <c r="C675" s="987">
        <v>11417200</v>
      </c>
      <c r="D675" s="985">
        <v>1728577.7777777775</v>
      </c>
      <c r="E675" s="986">
        <v>1205045.2383561644</v>
      </c>
      <c r="F675" s="986">
        <v>2356703.2799999998</v>
      </c>
      <c r="G675" s="1003">
        <v>240333.51561643835</v>
      </c>
      <c r="H675" s="987"/>
      <c r="I675" s="985"/>
      <c r="J675" s="986"/>
      <c r="K675" s="970"/>
      <c r="L675" s="970"/>
      <c r="M675" s="970"/>
      <c r="N675" s="970"/>
      <c r="O675" s="970"/>
      <c r="P675" s="970"/>
      <c r="Q675" s="970"/>
      <c r="R675" s="970"/>
      <c r="S675" s="970"/>
      <c r="T675" s="970"/>
      <c r="U675" s="970"/>
      <c r="V675" s="970"/>
      <c r="W675" s="970"/>
      <c r="X675" s="970"/>
      <c r="Y675" s="970"/>
      <c r="Z675" s="970"/>
      <c r="AA675" s="970"/>
      <c r="AB675" s="970"/>
      <c r="AC675" s="970"/>
      <c r="AD675" s="970"/>
      <c r="AE675" s="970"/>
      <c r="AF675" s="970"/>
      <c r="AG675" s="970"/>
      <c r="AH675" s="970"/>
      <c r="AI675" s="970"/>
    </row>
    <row r="676" spans="1:39" s="971" customFormat="1">
      <c r="A676" s="1016" t="s">
        <v>906</v>
      </c>
      <c r="B676" s="976"/>
      <c r="C676" s="987">
        <v>11417199.999567511</v>
      </c>
      <c r="D676" s="985">
        <v>1728577.7830696015</v>
      </c>
      <c r="E676" s="986">
        <v>1205045.24</v>
      </c>
      <c r="F676" s="986">
        <v>2356703.2799999998</v>
      </c>
      <c r="G676" s="1003">
        <v>240333.52</v>
      </c>
      <c r="H676" s="987"/>
      <c r="I676" s="985"/>
      <c r="J676" s="986"/>
      <c r="K676" s="970"/>
      <c r="L676" s="970"/>
      <c r="M676" s="970"/>
      <c r="N676" s="970"/>
      <c r="O676" s="970"/>
      <c r="P676" s="970"/>
      <c r="Q676" s="970"/>
      <c r="R676" s="970"/>
      <c r="S676" s="970"/>
      <c r="T676" s="970"/>
      <c r="U676" s="970"/>
      <c r="V676" s="970"/>
      <c r="W676" s="970"/>
      <c r="X676" s="970"/>
      <c r="Y676" s="970"/>
      <c r="Z676" s="970"/>
      <c r="AA676" s="970"/>
      <c r="AB676" s="970"/>
      <c r="AC676" s="970"/>
      <c r="AD676" s="970"/>
      <c r="AE676" s="970"/>
      <c r="AF676" s="970"/>
      <c r="AG676" s="970"/>
      <c r="AH676" s="970"/>
      <c r="AI676" s="970"/>
    </row>
    <row r="677" spans="1:39" s="971" customFormat="1">
      <c r="A677" s="999" t="s">
        <v>688</v>
      </c>
      <c r="B677" s="976"/>
      <c r="C677" s="987">
        <v>4.3248943984508514E-4</v>
      </c>
      <c r="D677" s="985">
        <v>-5.2918239962309599E-3</v>
      </c>
      <c r="E677" s="986">
        <v>-1.6438355669379234E-3</v>
      </c>
      <c r="F677" s="986">
        <v>0</v>
      </c>
      <c r="G677" s="1003">
        <v>-4.3835616379510611E-3</v>
      </c>
      <c r="H677" s="987"/>
      <c r="I677" s="985"/>
      <c r="J677" s="986"/>
      <c r="K677" s="970"/>
      <c r="L677" s="970"/>
      <c r="M677" s="970"/>
      <c r="N677" s="970"/>
      <c r="O677" s="970"/>
      <c r="P677" s="970"/>
      <c r="Q677" s="970"/>
      <c r="R677" s="970"/>
      <c r="S677" s="970"/>
      <c r="T677" s="970"/>
      <c r="U677" s="970"/>
      <c r="V677" s="970"/>
      <c r="W677" s="970"/>
      <c r="X677" s="970"/>
      <c r="Y677" s="970"/>
      <c r="Z677" s="970"/>
      <c r="AA677" s="970"/>
      <c r="AB677" s="970"/>
      <c r="AC677" s="970"/>
      <c r="AD677" s="970"/>
      <c r="AE677" s="970"/>
      <c r="AF677" s="970"/>
      <c r="AG677" s="970"/>
      <c r="AH677" s="970"/>
      <c r="AI677" s="970"/>
    </row>
    <row r="678" spans="1:39" s="971" customFormat="1">
      <c r="A678" s="999" t="s">
        <v>708</v>
      </c>
      <c r="B678" s="976"/>
      <c r="C678" s="987">
        <v>2.9196776449680328E-4</v>
      </c>
      <c r="D678" s="985">
        <v>-3.8806544616818428E-3</v>
      </c>
      <c r="E678" s="986">
        <v>-1.6438355669379234E-3</v>
      </c>
      <c r="F678" s="986">
        <v>0</v>
      </c>
      <c r="G678" s="1003">
        <v>-4.3835616670548916E-3</v>
      </c>
      <c r="H678" s="987"/>
      <c r="I678" s="985"/>
      <c r="J678" s="986"/>
      <c r="K678" s="970"/>
      <c r="L678" s="970"/>
      <c r="M678" s="970"/>
      <c r="N678" s="970"/>
      <c r="O678" s="970"/>
      <c r="P678" s="970"/>
      <c r="Q678" s="970"/>
      <c r="R678" s="970"/>
      <c r="S678" s="970"/>
      <c r="T678" s="970"/>
      <c r="U678" s="970"/>
      <c r="V678" s="970"/>
      <c r="W678" s="970"/>
      <c r="X678" s="970"/>
      <c r="Y678" s="970"/>
      <c r="Z678" s="970"/>
      <c r="AA678" s="970"/>
      <c r="AB678" s="970"/>
      <c r="AC678" s="970"/>
      <c r="AD678" s="970"/>
      <c r="AE678" s="970"/>
      <c r="AF678" s="970"/>
      <c r="AG678" s="970"/>
      <c r="AH678" s="970"/>
      <c r="AI678" s="970"/>
    </row>
    <row r="679" spans="1:39" s="971" customFormat="1">
      <c r="A679" s="999" t="s">
        <v>689</v>
      </c>
      <c r="B679" s="976"/>
      <c r="C679" s="980">
        <v>2.85</v>
      </c>
      <c r="D679" s="980">
        <v>2.85</v>
      </c>
      <c r="E679" s="980">
        <v>4.72</v>
      </c>
      <c r="F679" s="980">
        <v>3.25</v>
      </c>
      <c r="G679" s="1026">
        <v>5.25</v>
      </c>
      <c r="H679" s="980"/>
      <c r="I679" s="980"/>
      <c r="J679" s="980"/>
      <c r="K679" s="970"/>
      <c r="L679" s="970"/>
      <c r="M679" s="970"/>
      <c r="N679" s="970"/>
      <c r="O679" s="970"/>
      <c r="P679" s="970"/>
      <c r="Q679" s="970"/>
      <c r="R679" s="970"/>
      <c r="S679" s="970"/>
      <c r="T679" s="970"/>
      <c r="U679" s="970"/>
      <c r="V679" s="970"/>
      <c r="W679" s="970"/>
      <c r="X679" s="970"/>
      <c r="Y679" s="970"/>
      <c r="Z679" s="970"/>
      <c r="AA679" s="970"/>
      <c r="AB679" s="970"/>
      <c r="AC679" s="970"/>
      <c r="AD679" s="970"/>
      <c r="AE679" s="970"/>
      <c r="AF679" s="970"/>
      <c r="AG679" s="970"/>
      <c r="AH679" s="970"/>
      <c r="AI679" s="970"/>
    </row>
    <row r="680" spans="1:39" s="971" customFormat="1">
      <c r="A680" s="999" t="s">
        <v>690</v>
      </c>
      <c r="B680" s="976"/>
      <c r="C680" s="1001">
        <v>42055</v>
      </c>
      <c r="D680" s="1001">
        <v>42055</v>
      </c>
      <c r="E680" s="1001">
        <v>42786</v>
      </c>
      <c r="F680" s="1001">
        <v>42055</v>
      </c>
      <c r="G680" s="1002">
        <v>42786</v>
      </c>
      <c r="H680" s="1001"/>
      <c r="I680" s="1001"/>
      <c r="J680" s="988"/>
      <c r="K680" s="970"/>
      <c r="L680" s="1057"/>
      <c r="M680" s="1057"/>
      <c r="N680" s="1057"/>
      <c r="O680" s="1058"/>
      <c r="P680" s="1057"/>
      <c r="Q680" s="1057"/>
      <c r="R680" s="1057"/>
      <c r="S680" s="1057"/>
      <c r="T680" s="1057"/>
      <c r="U680" s="1057"/>
      <c r="V680" s="1057"/>
      <c r="W680" s="1057"/>
      <c r="X680" s="1057"/>
      <c r="Y680" s="1058"/>
      <c r="Z680" s="1057"/>
      <c r="AA680" s="1057"/>
      <c r="AB680" s="1057"/>
      <c r="AC680" s="1057"/>
      <c r="AD680" s="1057"/>
      <c r="AE680" s="1057"/>
      <c r="AF680" s="1057"/>
      <c r="AG680" s="1057"/>
      <c r="AH680" s="1057"/>
      <c r="AI680" s="1057"/>
    </row>
    <row r="681" spans="1:39" s="971" customFormat="1">
      <c r="A681" s="999" t="s">
        <v>691</v>
      </c>
      <c r="B681" s="976"/>
      <c r="C681" s="1001">
        <v>42055</v>
      </c>
      <c r="D681" s="1001">
        <v>42055</v>
      </c>
      <c r="E681" s="1001">
        <v>42786</v>
      </c>
      <c r="F681" s="1001">
        <v>42055</v>
      </c>
      <c r="G681" s="1002">
        <v>42786</v>
      </c>
      <c r="H681" s="988"/>
      <c r="I681" s="988"/>
      <c r="J681" s="988"/>
      <c r="K681" s="970"/>
      <c r="L681" s="1059"/>
      <c r="M681" s="1059"/>
      <c r="N681" s="1059"/>
      <c r="O681" s="1059"/>
      <c r="P681" s="1059"/>
      <c r="Q681" s="1059"/>
      <c r="R681" s="1059"/>
      <c r="S681" s="1059"/>
      <c r="T681" s="1059"/>
      <c r="U681" s="1059"/>
      <c r="V681" s="1059"/>
      <c r="W681" s="1059"/>
      <c r="X681" s="1059"/>
      <c r="Y681" s="1059"/>
      <c r="Z681" s="1059"/>
      <c r="AA681" s="1059"/>
      <c r="AB681" s="1059"/>
      <c r="AC681" s="1059"/>
      <c r="AD681" s="1059"/>
      <c r="AE681" s="1059"/>
      <c r="AF681" s="1059"/>
      <c r="AG681" s="1059"/>
      <c r="AH681" s="1059"/>
      <c r="AI681" s="1059"/>
      <c r="AJ681" s="1060"/>
      <c r="AK681" s="1060"/>
      <c r="AL681" s="1060"/>
      <c r="AM681" s="1060"/>
    </row>
    <row r="682" spans="1:39" s="971" customFormat="1">
      <c r="A682" s="999" t="s">
        <v>692</v>
      </c>
      <c r="B682" s="976" t="s">
        <v>639</v>
      </c>
      <c r="C682" s="988">
        <v>57304</v>
      </c>
      <c r="D682" s="988">
        <v>57304</v>
      </c>
      <c r="E682" s="988">
        <v>57304</v>
      </c>
      <c r="F682" s="988">
        <v>57304</v>
      </c>
      <c r="G682" s="1019">
        <v>57304</v>
      </c>
      <c r="H682" s="988"/>
      <c r="I682" s="988"/>
      <c r="J682" s="988"/>
      <c r="K682" s="970"/>
      <c r="L682" s="1061"/>
      <c r="M682" s="1061"/>
      <c r="N682" s="1061"/>
      <c r="O682" s="1061"/>
      <c r="P682" s="1061"/>
      <c r="Q682" s="1061"/>
      <c r="R682" s="1061"/>
      <c r="S682" s="1061"/>
      <c r="T682" s="1061"/>
      <c r="U682" s="1061"/>
      <c r="V682" s="1061"/>
      <c r="W682" s="1061"/>
      <c r="X682" s="1061"/>
      <c r="Y682" s="1061"/>
      <c r="Z682" s="1061"/>
      <c r="AA682" s="1061"/>
      <c r="AB682" s="1061"/>
      <c r="AC682" s="1061"/>
      <c r="AD682" s="1061"/>
      <c r="AE682" s="1061"/>
      <c r="AF682" s="1061"/>
      <c r="AG682" s="1061"/>
      <c r="AH682" s="1061"/>
      <c r="AI682" s="1061"/>
      <c r="AJ682" s="1060"/>
      <c r="AK682" s="1060"/>
      <c r="AL682" s="1060"/>
      <c r="AM682" s="1060"/>
    </row>
    <row r="683" spans="1:39" s="971" customFormat="1">
      <c r="A683" s="1062" t="s">
        <v>214</v>
      </c>
      <c r="B683" s="976"/>
      <c r="C683" s="988" t="s">
        <v>561</v>
      </c>
      <c r="D683" s="988" t="s">
        <v>561</v>
      </c>
      <c r="E683" s="988" t="s">
        <v>561</v>
      </c>
      <c r="F683" s="988" t="s">
        <v>561</v>
      </c>
      <c r="G683" s="1019" t="s">
        <v>561</v>
      </c>
      <c r="H683" s="988"/>
      <c r="I683" s="988"/>
      <c r="J683" s="988"/>
      <c r="K683" s="988"/>
      <c r="L683" s="970"/>
      <c r="M683" s="970"/>
      <c r="N683" s="970"/>
      <c r="O683" s="970"/>
      <c r="P683" s="970"/>
      <c r="Q683" s="970"/>
      <c r="R683" s="970"/>
      <c r="S683" s="970"/>
      <c r="T683" s="970"/>
      <c r="U683" s="970"/>
      <c r="V683" s="970"/>
      <c r="W683" s="970"/>
      <c r="X683" s="970"/>
      <c r="Y683" s="970"/>
      <c r="Z683" s="970"/>
      <c r="AA683" s="970"/>
      <c r="AB683" s="970"/>
      <c r="AC683" s="970"/>
      <c r="AD683" s="970"/>
      <c r="AE683" s="970"/>
      <c r="AF683" s="970"/>
      <c r="AG683" s="970"/>
      <c r="AH683" s="970"/>
      <c r="AI683" s="970"/>
    </row>
    <row r="684" spans="1:39" s="971" customFormat="1">
      <c r="A684" s="1062"/>
      <c r="B684" s="976"/>
      <c r="C684" s="988"/>
      <c r="D684" s="988"/>
      <c r="E684" s="988"/>
      <c r="F684" s="988"/>
      <c r="G684" s="1019"/>
      <c r="H684" s="988"/>
      <c r="I684" s="988"/>
      <c r="J684" s="988"/>
      <c r="K684" s="988"/>
      <c r="L684" s="970"/>
      <c r="M684" s="970"/>
      <c r="N684" s="970"/>
      <c r="O684" s="970"/>
      <c r="P684" s="970"/>
      <c r="Q684" s="970"/>
      <c r="R684" s="970"/>
      <c r="S684" s="970"/>
      <c r="T684" s="970"/>
      <c r="U684" s="970"/>
      <c r="V684" s="970"/>
      <c r="W684" s="970"/>
      <c r="X684" s="970"/>
      <c r="Y684" s="970"/>
      <c r="Z684" s="970"/>
      <c r="AA684" s="970"/>
      <c r="AB684" s="970"/>
      <c r="AC684" s="970"/>
      <c r="AD684" s="970"/>
      <c r="AE684" s="970"/>
      <c r="AF684" s="970"/>
      <c r="AG684" s="970"/>
      <c r="AH684" s="970"/>
      <c r="AI684" s="970"/>
    </row>
    <row r="685" spans="1:39" s="971" customFormat="1">
      <c r="A685" s="1021" t="s">
        <v>369</v>
      </c>
      <c r="B685" s="990"/>
      <c r="C685" s="1063"/>
      <c r="D685" s="1022"/>
      <c r="E685" s="1022"/>
      <c r="F685" s="1022"/>
      <c r="G685" s="1064"/>
      <c r="H685" s="982"/>
      <c r="I685" s="980"/>
      <c r="J685" s="982"/>
      <c r="K685" s="970"/>
      <c r="L685" s="970"/>
      <c r="M685" s="970"/>
      <c r="N685" s="970"/>
      <c r="O685" s="970"/>
      <c r="P685" s="970"/>
      <c r="Q685" s="970"/>
      <c r="R685" s="970"/>
      <c r="S685" s="970"/>
      <c r="T685" s="970"/>
      <c r="U685" s="970"/>
      <c r="V685" s="970"/>
      <c r="W685" s="970"/>
      <c r="X685" s="970"/>
      <c r="Y685" s="970"/>
      <c r="Z685" s="970"/>
      <c r="AA685" s="970"/>
      <c r="AB685" s="970"/>
      <c r="AC685" s="970"/>
      <c r="AD685" s="970"/>
      <c r="AE685" s="970"/>
      <c r="AF685" s="970"/>
      <c r="AG685" s="970"/>
      <c r="AH685" s="970"/>
      <c r="AI685" s="970"/>
    </row>
    <row r="686" spans="1:39" s="971" customFormat="1">
      <c r="A686" s="1025" t="s">
        <v>1044</v>
      </c>
      <c r="B686" s="976"/>
      <c r="C686" s="980"/>
      <c r="D686" s="982"/>
      <c r="E686" s="982"/>
      <c r="F686" s="982"/>
      <c r="G686" s="1000"/>
      <c r="H686" s="982"/>
      <c r="I686" s="980"/>
      <c r="J686" s="982"/>
      <c r="K686" s="970"/>
      <c r="L686" s="970"/>
      <c r="M686" s="970"/>
      <c r="N686" s="970"/>
      <c r="O686" s="970"/>
      <c r="P686" s="970"/>
      <c r="Q686" s="970"/>
      <c r="R686" s="970"/>
      <c r="S686" s="970"/>
      <c r="T686" s="970"/>
      <c r="U686" s="970"/>
      <c r="V686" s="970"/>
      <c r="W686" s="970"/>
      <c r="X686" s="970"/>
      <c r="Y686" s="970"/>
      <c r="Z686" s="970"/>
      <c r="AA686" s="970"/>
      <c r="AB686" s="970"/>
      <c r="AC686" s="970"/>
      <c r="AD686" s="970"/>
      <c r="AE686" s="970"/>
      <c r="AF686" s="970"/>
      <c r="AG686" s="970"/>
      <c r="AH686" s="970"/>
      <c r="AI686" s="970"/>
    </row>
    <row r="687" spans="1:39" s="971" customFormat="1">
      <c r="A687" s="1025"/>
      <c r="B687" s="976"/>
      <c r="C687" s="980"/>
      <c r="D687" s="980"/>
      <c r="E687" s="980"/>
      <c r="F687" s="980"/>
      <c r="G687" s="1026"/>
      <c r="H687" s="982"/>
      <c r="I687" s="980"/>
      <c r="J687" s="982"/>
      <c r="K687" s="970"/>
      <c r="L687" s="970"/>
      <c r="M687" s="970"/>
      <c r="N687" s="970"/>
      <c r="O687" s="970"/>
      <c r="P687" s="970"/>
      <c r="Q687" s="970"/>
      <c r="R687" s="970"/>
      <c r="S687" s="970"/>
      <c r="T687" s="970"/>
      <c r="U687" s="970"/>
      <c r="V687" s="970"/>
      <c r="W687" s="970"/>
      <c r="X687" s="970"/>
      <c r="Y687" s="970"/>
      <c r="Z687" s="970"/>
      <c r="AA687" s="970"/>
      <c r="AB687" s="970"/>
      <c r="AC687" s="970"/>
      <c r="AD687" s="970"/>
      <c r="AE687" s="970"/>
      <c r="AF687" s="970"/>
      <c r="AG687" s="970"/>
      <c r="AH687" s="970"/>
      <c r="AI687" s="970"/>
    </row>
    <row r="688" spans="1:39" s="971" customFormat="1">
      <c r="A688" s="1027" t="s">
        <v>209</v>
      </c>
      <c r="B688" s="976"/>
      <c r="C688" s="980"/>
      <c r="D688" s="980"/>
      <c r="E688" s="982"/>
      <c r="F688" s="982"/>
      <c r="G688" s="1000"/>
      <c r="H688" s="982"/>
      <c r="I688" s="980"/>
      <c r="J688" s="982"/>
      <c r="K688" s="970"/>
      <c r="L688" s="970"/>
      <c r="M688" s="970"/>
      <c r="N688" s="970"/>
      <c r="O688" s="970"/>
      <c r="P688" s="970"/>
      <c r="Q688" s="970"/>
      <c r="R688" s="970"/>
      <c r="S688" s="970"/>
      <c r="T688" s="970"/>
      <c r="U688" s="970"/>
      <c r="V688" s="970"/>
      <c r="W688" s="970"/>
      <c r="X688" s="970"/>
      <c r="Y688" s="970"/>
      <c r="Z688" s="970"/>
      <c r="AA688" s="970"/>
      <c r="AB688" s="970"/>
      <c r="AC688" s="970"/>
      <c r="AD688" s="970"/>
      <c r="AE688" s="970"/>
      <c r="AF688" s="970"/>
      <c r="AG688" s="970"/>
      <c r="AH688" s="970"/>
      <c r="AI688" s="970"/>
    </row>
    <row r="689" spans="1:36" s="971" customFormat="1">
      <c r="A689" s="1016" t="s">
        <v>370</v>
      </c>
      <c r="B689" s="976"/>
      <c r="C689" s="980" t="s">
        <v>174</v>
      </c>
      <c r="D689" s="980" t="s">
        <v>174</v>
      </c>
      <c r="E689" s="982" t="s">
        <v>622</v>
      </c>
      <c r="F689" s="982" t="s">
        <v>622</v>
      </c>
      <c r="G689" s="1000" t="s">
        <v>622</v>
      </c>
      <c r="H689" s="982"/>
      <c r="I689" s="980"/>
      <c r="J689" s="982"/>
      <c r="K689" s="970"/>
      <c r="L689" s="970"/>
      <c r="M689" s="970"/>
      <c r="N689" s="970"/>
      <c r="O689" s="970"/>
      <c r="P689" s="970"/>
      <c r="Q689" s="970"/>
      <c r="R689" s="970"/>
      <c r="S689" s="970"/>
      <c r="T689" s="970"/>
      <c r="U689" s="970"/>
      <c r="V689" s="970"/>
      <c r="W689" s="970"/>
      <c r="X689" s="970"/>
      <c r="Y689" s="970"/>
      <c r="Z689" s="970"/>
      <c r="AA689" s="970"/>
      <c r="AB689" s="970"/>
      <c r="AC689" s="970"/>
      <c r="AD689" s="970"/>
      <c r="AE689" s="970"/>
      <c r="AF689" s="970"/>
      <c r="AG689" s="970"/>
      <c r="AH689" s="970"/>
      <c r="AI689" s="970"/>
    </row>
    <row r="690" spans="1:36" s="971" customFormat="1">
      <c r="A690" s="999" t="s">
        <v>374</v>
      </c>
      <c r="B690" s="976"/>
      <c r="C690" s="986">
        <v>1508485229.415462</v>
      </c>
      <c r="D690" s="986">
        <v>341588385.99487615</v>
      </c>
      <c r="E690" s="986" t="s">
        <v>622</v>
      </c>
      <c r="F690" s="986" t="s">
        <v>622</v>
      </c>
      <c r="G690" s="1003" t="s">
        <v>622</v>
      </c>
      <c r="H690" s="982"/>
      <c r="I690" s="980"/>
      <c r="J690" s="982"/>
      <c r="K690" s="970"/>
      <c r="L690" s="970"/>
      <c r="M690" s="970"/>
      <c r="N690" s="970"/>
      <c r="O690" s="970"/>
      <c r="P690" s="970"/>
      <c r="Q690" s="970"/>
      <c r="R690" s="970"/>
      <c r="S690" s="970"/>
      <c r="T690" s="970"/>
      <c r="U690" s="970"/>
      <c r="V690" s="970"/>
      <c r="W690" s="970"/>
      <c r="X690" s="970"/>
      <c r="Y690" s="970"/>
      <c r="Z690" s="970"/>
      <c r="AA690" s="970"/>
      <c r="AB690" s="970"/>
      <c r="AC690" s="970"/>
      <c r="AD690" s="970"/>
      <c r="AE690" s="970"/>
      <c r="AF690" s="970"/>
      <c r="AG690" s="970"/>
      <c r="AH690" s="970"/>
      <c r="AI690" s="970"/>
    </row>
    <row r="691" spans="1:36" s="971" customFormat="1">
      <c r="A691" s="999" t="s">
        <v>907</v>
      </c>
      <c r="B691" s="976"/>
      <c r="C691" s="986">
        <v>72267135.028284103</v>
      </c>
      <c r="D691" s="986">
        <v>16364504.961571304</v>
      </c>
      <c r="E691" s="986" t="s">
        <v>622</v>
      </c>
      <c r="F691" s="986" t="s">
        <v>622</v>
      </c>
      <c r="G691" s="1003" t="s">
        <v>622</v>
      </c>
      <c r="H691" s="982"/>
      <c r="I691" s="980"/>
      <c r="J691" s="982"/>
      <c r="K691" s="970"/>
      <c r="L691" s="970"/>
      <c r="M691" s="970"/>
      <c r="N691" s="970"/>
      <c r="O691" s="970"/>
      <c r="P691" s="970"/>
      <c r="Q691" s="970"/>
      <c r="R691" s="970"/>
      <c r="S691" s="970"/>
      <c r="T691" s="970"/>
      <c r="U691" s="970"/>
      <c r="V691" s="970"/>
      <c r="W691" s="970"/>
      <c r="X691" s="970"/>
      <c r="Y691" s="970"/>
      <c r="Z691" s="970"/>
      <c r="AA691" s="970"/>
      <c r="AB691" s="970"/>
      <c r="AC691" s="970"/>
      <c r="AD691" s="970"/>
      <c r="AE691" s="970"/>
      <c r="AF691" s="970"/>
      <c r="AG691" s="970"/>
      <c r="AH691" s="970"/>
      <c r="AI691" s="970"/>
    </row>
    <row r="692" spans="1:36" s="971" customFormat="1">
      <c r="A692" s="1016" t="s">
        <v>371</v>
      </c>
      <c r="B692" s="976"/>
      <c r="C692" s="1012" t="s">
        <v>685</v>
      </c>
      <c r="D692" s="1012" t="s">
        <v>685</v>
      </c>
      <c r="E692" s="1012" t="s">
        <v>622</v>
      </c>
      <c r="F692" s="1012" t="s">
        <v>622</v>
      </c>
      <c r="G692" s="1013" t="s">
        <v>622</v>
      </c>
      <c r="H692" s="982"/>
      <c r="I692" s="980"/>
      <c r="J692" s="982"/>
      <c r="K692" s="970"/>
      <c r="L692" s="970"/>
      <c r="M692" s="970"/>
      <c r="N692" s="970"/>
      <c r="O692" s="970"/>
      <c r="P692" s="970"/>
      <c r="Q692" s="970"/>
      <c r="R692" s="970"/>
      <c r="S692" s="970"/>
      <c r="T692" s="970"/>
      <c r="U692" s="970"/>
      <c r="V692" s="970"/>
      <c r="W692" s="970"/>
      <c r="X692" s="970"/>
      <c r="Y692" s="970"/>
      <c r="Z692" s="970"/>
      <c r="AA692" s="970"/>
      <c r="AB692" s="970"/>
      <c r="AC692" s="970"/>
      <c r="AD692" s="970"/>
      <c r="AE692" s="970"/>
      <c r="AF692" s="970"/>
      <c r="AG692" s="970"/>
      <c r="AH692" s="970"/>
      <c r="AI692" s="970"/>
    </row>
    <row r="693" spans="1:36" s="971" customFormat="1">
      <c r="A693" s="1028" t="s">
        <v>687</v>
      </c>
      <c r="B693" s="976"/>
      <c r="C693" s="1014">
        <v>1.504E-2</v>
      </c>
      <c r="D693" s="1014">
        <v>2.0150000000000001E-2</v>
      </c>
      <c r="E693" s="1014" t="s">
        <v>622</v>
      </c>
      <c r="F693" s="1014" t="s">
        <v>622</v>
      </c>
      <c r="G693" s="1015" t="s">
        <v>622</v>
      </c>
      <c r="H693" s="982"/>
      <c r="I693" s="980"/>
      <c r="J693" s="982"/>
      <c r="K693" s="970"/>
      <c r="L693" s="970"/>
      <c r="M693" s="970"/>
      <c r="N693" s="970"/>
      <c r="O693" s="970"/>
      <c r="P693" s="970"/>
      <c r="Q693" s="970"/>
      <c r="R693" s="970"/>
      <c r="S693" s="970"/>
      <c r="T693" s="970"/>
      <c r="U693" s="970"/>
      <c r="V693" s="970"/>
      <c r="W693" s="970"/>
      <c r="X693" s="970"/>
      <c r="Y693" s="970"/>
      <c r="Z693" s="970"/>
      <c r="AA693" s="970"/>
      <c r="AB693" s="970"/>
      <c r="AC693" s="970"/>
      <c r="AD693" s="970"/>
      <c r="AE693" s="970"/>
      <c r="AF693" s="970"/>
      <c r="AG693" s="970"/>
      <c r="AH693" s="970"/>
      <c r="AI693" s="970"/>
    </row>
    <row r="694" spans="1:36" s="971" customFormat="1">
      <c r="A694" s="999" t="s">
        <v>906</v>
      </c>
      <c r="B694" s="976"/>
      <c r="C694" s="986">
        <v>7707572.6302919677</v>
      </c>
      <c r="D694" s="986">
        <v>2185304.3061193456</v>
      </c>
      <c r="E694" s="986" t="s">
        <v>622</v>
      </c>
      <c r="F694" s="986" t="s">
        <v>622</v>
      </c>
      <c r="G694" s="1003" t="s">
        <v>622</v>
      </c>
      <c r="H694" s="982"/>
      <c r="I694" s="980"/>
      <c r="J694" s="982"/>
      <c r="K694" s="970"/>
      <c r="L694" s="970"/>
      <c r="M694" s="970"/>
      <c r="N694" s="970"/>
      <c r="O694" s="970"/>
      <c r="P694" s="970"/>
      <c r="Q694" s="970"/>
      <c r="R694" s="970"/>
      <c r="S694" s="970"/>
      <c r="T694" s="970"/>
      <c r="U694" s="970"/>
      <c r="V694" s="970"/>
      <c r="W694" s="970"/>
      <c r="X694" s="970"/>
      <c r="Y694" s="970"/>
      <c r="Z694" s="970"/>
      <c r="AA694" s="970"/>
      <c r="AB694" s="970"/>
      <c r="AC694" s="970"/>
      <c r="AD694" s="970"/>
      <c r="AE694" s="970"/>
      <c r="AF694" s="970"/>
      <c r="AG694" s="970"/>
      <c r="AH694" s="970"/>
      <c r="AI694" s="970"/>
    </row>
    <row r="695" spans="1:36" s="971" customFormat="1">
      <c r="A695" s="999"/>
      <c r="B695" s="976"/>
      <c r="C695" s="980"/>
      <c r="D695" s="980"/>
      <c r="E695" s="982"/>
      <c r="F695" s="982"/>
      <c r="G695" s="1000"/>
      <c r="H695" s="982"/>
      <c r="I695" s="980"/>
      <c r="J695" s="982"/>
      <c r="K695" s="970"/>
      <c r="L695" s="970"/>
      <c r="M695" s="970"/>
      <c r="N695" s="970"/>
      <c r="O695" s="970"/>
      <c r="P695" s="970"/>
      <c r="Q695" s="970"/>
      <c r="R695" s="970"/>
      <c r="S695" s="970"/>
      <c r="T695" s="970"/>
      <c r="U695" s="970"/>
      <c r="V695" s="970"/>
      <c r="W695" s="970"/>
      <c r="X695" s="970"/>
      <c r="Y695" s="970"/>
      <c r="Z695" s="970"/>
      <c r="AA695" s="970"/>
      <c r="AB695" s="970"/>
      <c r="AC695" s="970"/>
      <c r="AD695" s="970"/>
      <c r="AE695" s="970"/>
      <c r="AF695" s="970"/>
      <c r="AG695" s="970"/>
      <c r="AH695" s="970"/>
      <c r="AI695" s="970"/>
    </row>
    <row r="696" spans="1:36" s="971" customFormat="1">
      <c r="A696" s="1027" t="s">
        <v>1046</v>
      </c>
      <c r="B696" s="976"/>
      <c r="C696" s="980"/>
      <c r="D696" s="980"/>
      <c r="E696" s="982"/>
      <c r="F696" s="982"/>
      <c r="G696" s="1000"/>
      <c r="H696" s="982"/>
      <c r="I696" s="980"/>
      <c r="J696" s="982"/>
      <c r="K696" s="970"/>
      <c r="L696" s="970"/>
      <c r="M696" s="970"/>
      <c r="N696" s="970"/>
      <c r="O696" s="970"/>
      <c r="P696" s="970"/>
      <c r="Q696" s="970"/>
      <c r="R696" s="970"/>
      <c r="S696" s="970"/>
      <c r="T696" s="970"/>
      <c r="U696" s="970"/>
      <c r="V696" s="970"/>
      <c r="W696" s="970"/>
      <c r="X696" s="970"/>
      <c r="Y696" s="970"/>
      <c r="Z696" s="970"/>
      <c r="AA696" s="970"/>
      <c r="AB696" s="970"/>
      <c r="AC696" s="970"/>
      <c r="AD696" s="970"/>
      <c r="AE696" s="970"/>
      <c r="AF696" s="970"/>
      <c r="AG696" s="970"/>
      <c r="AH696" s="970"/>
      <c r="AI696" s="970"/>
    </row>
    <row r="697" spans="1:36" s="971" customFormat="1">
      <c r="A697" s="1016" t="s">
        <v>370</v>
      </c>
      <c r="B697" s="976"/>
      <c r="C697" s="980" t="s">
        <v>174</v>
      </c>
      <c r="D697" s="980" t="s">
        <v>174</v>
      </c>
      <c r="E697" s="986" t="s">
        <v>622</v>
      </c>
      <c r="F697" s="986" t="s">
        <v>622</v>
      </c>
      <c r="G697" s="1003" t="s">
        <v>622</v>
      </c>
      <c r="H697" s="982"/>
      <c r="I697" s="980"/>
      <c r="J697" s="982"/>
      <c r="K697" s="970"/>
      <c r="L697" s="970"/>
      <c r="M697" s="970"/>
      <c r="N697" s="970"/>
      <c r="O697" s="970"/>
      <c r="P697" s="970"/>
      <c r="Q697" s="970"/>
      <c r="R697" s="970"/>
      <c r="S697" s="970"/>
      <c r="T697" s="970"/>
      <c r="U697" s="970"/>
      <c r="V697" s="970"/>
      <c r="W697" s="970"/>
      <c r="X697" s="970"/>
      <c r="Y697" s="970"/>
      <c r="Z697" s="970"/>
      <c r="AA697" s="970"/>
      <c r="AB697" s="970"/>
      <c r="AC697" s="970"/>
      <c r="AD697" s="970"/>
      <c r="AE697" s="970"/>
      <c r="AF697" s="970"/>
      <c r="AG697" s="970"/>
      <c r="AH697" s="970"/>
      <c r="AI697" s="970"/>
    </row>
    <row r="698" spans="1:36" s="971" customFormat="1">
      <c r="A698" s="999" t="s">
        <v>375</v>
      </c>
      <c r="B698" s="976"/>
      <c r="C698" s="1049">
        <v>2400000000</v>
      </c>
      <c r="D698" s="985">
        <v>400000000</v>
      </c>
      <c r="E698" s="986" t="s">
        <v>622</v>
      </c>
      <c r="F698" s="986" t="s">
        <v>622</v>
      </c>
      <c r="G698" s="1003" t="s">
        <v>622</v>
      </c>
      <c r="H698" s="982"/>
      <c r="I698" s="980"/>
      <c r="J698" s="982"/>
      <c r="K698" s="970"/>
      <c r="L698" s="970"/>
      <c r="M698" s="970"/>
      <c r="N698" s="970"/>
      <c r="O698" s="970"/>
      <c r="P698" s="970"/>
      <c r="Q698" s="970"/>
      <c r="R698" s="970"/>
      <c r="S698" s="970"/>
      <c r="T698" s="970"/>
      <c r="U698" s="970"/>
      <c r="V698" s="970"/>
      <c r="W698" s="970"/>
      <c r="X698" s="970"/>
      <c r="Y698" s="970"/>
      <c r="Z698" s="970"/>
      <c r="AA698" s="970"/>
      <c r="AB698" s="970"/>
      <c r="AC698" s="970"/>
      <c r="AD698" s="970"/>
      <c r="AE698" s="970"/>
      <c r="AF698" s="970"/>
      <c r="AG698" s="970"/>
      <c r="AH698" s="970"/>
      <c r="AI698" s="970"/>
    </row>
    <row r="699" spans="1:36" s="971" customFormat="1">
      <c r="A699" s="1016" t="s">
        <v>373</v>
      </c>
      <c r="B699" s="976"/>
      <c r="C699" s="1049">
        <v>114977011.83</v>
      </c>
      <c r="D699" s="985">
        <v>19162835.309999999</v>
      </c>
      <c r="E699" s="981" t="s">
        <v>622</v>
      </c>
      <c r="F699" s="981" t="s">
        <v>622</v>
      </c>
      <c r="G699" s="1065" t="s">
        <v>622</v>
      </c>
      <c r="H699" s="982"/>
      <c r="I699" s="980"/>
      <c r="J699" s="982"/>
      <c r="K699" s="970"/>
      <c r="L699" s="970"/>
      <c r="M699" s="970"/>
      <c r="N699" s="970"/>
      <c r="O699" s="970"/>
      <c r="P699" s="970"/>
      <c r="Q699" s="970"/>
      <c r="R699" s="970"/>
      <c r="S699" s="970"/>
      <c r="T699" s="970"/>
      <c r="U699" s="970"/>
      <c r="V699" s="970"/>
      <c r="W699" s="970"/>
      <c r="X699" s="970"/>
      <c r="Y699" s="970"/>
      <c r="Z699" s="970"/>
      <c r="AA699" s="970"/>
      <c r="AB699" s="970"/>
      <c r="AC699" s="970"/>
      <c r="AD699" s="970"/>
      <c r="AE699" s="970"/>
      <c r="AF699" s="970"/>
      <c r="AG699" s="970"/>
      <c r="AH699" s="970"/>
      <c r="AI699" s="970"/>
    </row>
    <row r="700" spans="1:36" s="971" customFormat="1">
      <c r="A700" s="1016" t="s">
        <v>371</v>
      </c>
      <c r="B700" s="976"/>
      <c r="C700" s="981" t="s">
        <v>683</v>
      </c>
      <c r="D700" s="981" t="s">
        <v>684</v>
      </c>
      <c r="E700" s="981" t="s">
        <v>622</v>
      </c>
      <c r="F700" s="981" t="s">
        <v>622</v>
      </c>
      <c r="G700" s="1065" t="s">
        <v>622</v>
      </c>
      <c r="L700" s="970"/>
      <c r="M700" s="970"/>
      <c r="N700" s="970"/>
      <c r="O700" s="970"/>
      <c r="P700" s="970"/>
      <c r="Q700" s="970"/>
      <c r="R700" s="970"/>
      <c r="S700" s="970"/>
      <c r="T700" s="970"/>
      <c r="U700" s="970"/>
      <c r="V700" s="970"/>
      <c r="W700" s="970"/>
      <c r="X700" s="970"/>
      <c r="Y700" s="970"/>
      <c r="Z700" s="970"/>
      <c r="AA700" s="970"/>
      <c r="AB700" s="970"/>
      <c r="AC700" s="970"/>
      <c r="AD700" s="970"/>
      <c r="AE700" s="970"/>
      <c r="AF700" s="970"/>
      <c r="AG700" s="970"/>
      <c r="AH700" s="970"/>
      <c r="AI700" s="970"/>
    </row>
    <row r="701" spans="1:36" s="971" customFormat="1">
      <c r="A701" s="999" t="s">
        <v>687</v>
      </c>
      <c r="B701" s="976"/>
      <c r="C701" s="1014">
        <v>1.55E-2</v>
      </c>
      <c r="D701" s="1014">
        <v>1.4999999999999999E-2</v>
      </c>
      <c r="E701" s="981" t="s">
        <v>622</v>
      </c>
      <c r="F701" s="981" t="s">
        <v>622</v>
      </c>
      <c r="G701" s="1065" t="s">
        <v>622</v>
      </c>
      <c r="L701" s="970"/>
      <c r="M701" s="970"/>
      <c r="N701" s="970"/>
      <c r="O701" s="970"/>
      <c r="P701" s="970"/>
      <c r="Q701" s="970"/>
      <c r="R701" s="970"/>
      <c r="S701" s="970"/>
      <c r="T701" s="970"/>
      <c r="U701" s="970"/>
      <c r="V701" s="970"/>
      <c r="W701" s="970"/>
      <c r="X701" s="970"/>
      <c r="Y701" s="970"/>
      <c r="Z701" s="970"/>
      <c r="AA701" s="970"/>
      <c r="AB701" s="970"/>
      <c r="AC701" s="970"/>
      <c r="AD701" s="970"/>
      <c r="AE701" s="970"/>
      <c r="AF701" s="970"/>
      <c r="AG701" s="970"/>
      <c r="AH701" s="970"/>
      <c r="AI701" s="970"/>
    </row>
    <row r="702" spans="1:36" s="971" customFormat="1">
      <c r="A702" s="1016" t="s">
        <v>372</v>
      </c>
      <c r="B702" s="976"/>
      <c r="C702" s="987">
        <v>11417199.999567511</v>
      </c>
      <c r="D702" s="985">
        <v>1728577.7830696015</v>
      </c>
      <c r="E702" s="981" t="s">
        <v>622</v>
      </c>
      <c r="F702" s="981" t="s">
        <v>622</v>
      </c>
      <c r="G702" s="1065" t="s">
        <v>622</v>
      </c>
      <c r="L702" s="970"/>
      <c r="M702" s="970"/>
      <c r="N702" s="970"/>
      <c r="O702" s="970"/>
      <c r="P702" s="970"/>
      <c r="Q702" s="970"/>
      <c r="R702" s="970"/>
      <c r="S702" s="970"/>
      <c r="T702" s="970"/>
      <c r="U702" s="970"/>
      <c r="V702" s="970"/>
      <c r="W702" s="970"/>
      <c r="X702" s="970"/>
      <c r="Y702" s="970"/>
      <c r="Z702" s="970"/>
      <c r="AA702" s="970"/>
      <c r="AB702" s="970"/>
      <c r="AC702" s="970"/>
      <c r="AD702" s="970"/>
      <c r="AE702" s="970"/>
      <c r="AF702" s="970"/>
      <c r="AG702" s="970"/>
      <c r="AH702" s="970"/>
      <c r="AI702" s="970"/>
    </row>
    <row r="703" spans="1:36" s="971" customFormat="1">
      <c r="A703" s="1066"/>
      <c r="B703" s="1031"/>
      <c r="C703" s="1068"/>
      <c r="D703" s="1067"/>
      <c r="E703" s="1075"/>
      <c r="F703" s="1075"/>
      <c r="G703" s="1076"/>
      <c r="H703" s="982"/>
      <c r="I703" s="980"/>
      <c r="J703" s="982"/>
      <c r="K703" s="970"/>
      <c r="L703" s="970"/>
      <c r="M703" s="970"/>
      <c r="N703" s="970"/>
      <c r="O703" s="970"/>
      <c r="P703" s="970"/>
      <c r="Q703" s="970"/>
      <c r="R703" s="970"/>
      <c r="S703" s="970"/>
      <c r="T703" s="970"/>
      <c r="U703" s="970"/>
      <c r="V703" s="970"/>
      <c r="W703" s="970"/>
      <c r="X703" s="970"/>
      <c r="Y703" s="970"/>
      <c r="Z703" s="970"/>
      <c r="AA703" s="970"/>
      <c r="AB703" s="970"/>
      <c r="AC703" s="970"/>
      <c r="AD703" s="970"/>
      <c r="AE703" s="970"/>
      <c r="AF703" s="970"/>
      <c r="AG703" s="970"/>
      <c r="AH703" s="970"/>
      <c r="AI703" s="970"/>
    </row>
    <row r="704" spans="1:36" s="971" customFormat="1">
      <c r="A704" s="1070"/>
      <c r="B704" s="976"/>
      <c r="C704" s="982"/>
      <c r="D704" s="980"/>
      <c r="E704" s="982"/>
      <c r="F704" s="970"/>
      <c r="G704" s="970"/>
      <c r="H704" s="970"/>
      <c r="I704" s="982"/>
      <c r="J704" s="980"/>
      <c r="K704" s="982"/>
      <c r="L704" s="970"/>
      <c r="M704" s="970"/>
      <c r="N704" s="970"/>
      <c r="O704" s="970"/>
      <c r="P704" s="970"/>
      <c r="Q704" s="970"/>
      <c r="R704" s="970"/>
      <c r="S704" s="970"/>
      <c r="T704" s="970"/>
      <c r="U704" s="970"/>
      <c r="V704" s="970"/>
      <c r="W704" s="970"/>
      <c r="X704" s="970"/>
      <c r="Y704" s="970"/>
      <c r="Z704" s="970"/>
      <c r="AA704" s="970"/>
      <c r="AB704" s="970"/>
      <c r="AC704" s="970"/>
      <c r="AD704" s="970"/>
      <c r="AE704" s="970"/>
      <c r="AF704" s="970"/>
      <c r="AG704" s="970"/>
      <c r="AH704" s="970"/>
      <c r="AI704" s="970"/>
      <c r="AJ704" s="970"/>
    </row>
    <row r="705" spans="1:36" s="971" customFormat="1" ht="15.75">
      <c r="A705" s="989" t="s">
        <v>1073</v>
      </c>
      <c r="B705" s="990"/>
      <c r="C705" s="1039" t="s">
        <v>541</v>
      </c>
      <c r="D705" s="1039" t="s">
        <v>1075</v>
      </c>
      <c r="E705" s="1040" t="s">
        <v>355</v>
      </c>
      <c r="F705" s="1039" t="s">
        <v>1078</v>
      </c>
      <c r="G705" s="1039" t="s">
        <v>1080</v>
      </c>
      <c r="H705" s="1039" t="s">
        <v>1082</v>
      </c>
      <c r="I705" s="1073" t="s">
        <v>77</v>
      </c>
      <c r="J705" s="994"/>
      <c r="K705" s="1045"/>
      <c r="L705" s="970"/>
      <c r="M705" s="970"/>
      <c r="N705" s="970"/>
      <c r="O705" s="970"/>
      <c r="P705" s="970"/>
      <c r="Q705" s="970"/>
      <c r="R705" s="970"/>
      <c r="S705" s="970"/>
      <c r="T705" s="970"/>
      <c r="U705" s="970"/>
      <c r="V705" s="970"/>
      <c r="W705" s="970"/>
      <c r="X705" s="970"/>
      <c r="Y705" s="970"/>
      <c r="Z705" s="970"/>
      <c r="AA705" s="970"/>
      <c r="AB705" s="970"/>
      <c r="AC705" s="970"/>
      <c r="AD705" s="970"/>
      <c r="AE705" s="970"/>
      <c r="AF705" s="970"/>
      <c r="AG705" s="970"/>
      <c r="AH705" s="970"/>
      <c r="AI705" s="970"/>
      <c r="AJ705" s="970"/>
    </row>
    <row r="706" spans="1:36" s="971" customFormat="1" ht="15.75">
      <c r="A706" s="1046"/>
      <c r="B706" s="976"/>
      <c r="C706" s="1044"/>
      <c r="D706" s="994"/>
      <c r="E706" s="994"/>
      <c r="F706" s="1045"/>
      <c r="G706" s="1045"/>
      <c r="H706" s="1045"/>
      <c r="I706" s="1166"/>
      <c r="J706" s="994"/>
      <c r="K706" s="1045"/>
      <c r="L706" s="970"/>
      <c r="M706" s="970"/>
      <c r="N706" s="970"/>
      <c r="O706" s="970"/>
      <c r="P706" s="970"/>
      <c r="Q706" s="970"/>
      <c r="R706" s="970"/>
      <c r="S706" s="970"/>
      <c r="T706" s="970"/>
      <c r="U706" s="970"/>
      <c r="V706" s="970"/>
      <c r="W706" s="970"/>
      <c r="X706" s="970"/>
      <c r="Y706" s="970"/>
      <c r="Z706" s="970"/>
      <c r="AA706" s="970"/>
      <c r="AB706" s="970"/>
      <c r="AC706" s="970"/>
      <c r="AD706" s="970"/>
      <c r="AE706" s="970"/>
      <c r="AF706" s="970"/>
      <c r="AG706" s="970"/>
      <c r="AH706" s="970"/>
      <c r="AI706" s="970"/>
      <c r="AJ706" s="970"/>
    </row>
    <row r="707" spans="1:36" s="971" customFormat="1">
      <c r="A707" s="999" t="s">
        <v>408</v>
      </c>
      <c r="B707" s="976"/>
      <c r="C707" s="1172" t="s">
        <v>1074</v>
      </c>
      <c r="D707" s="1173" t="s">
        <v>1076</v>
      </c>
      <c r="E707" s="1173" t="s">
        <v>1077</v>
      </c>
      <c r="F707" s="1173" t="s">
        <v>1079</v>
      </c>
      <c r="G707" s="1173" t="s">
        <v>1081</v>
      </c>
      <c r="H707" s="1173" t="s">
        <v>1083</v>
      </c>
      <c r="I707" s="1174" t="s">
        <v>1090</v>
      </c>
      <c r="J707" s="980"/>
      <c r="K707" s="970"/>
      <c r="M707" s="970"/>
      <c r="N707" s="970"/>
      <c r="O707" s="970"/>
      <c r="P707" s="970"/>
      <c r="Q707" s="970"/>
      <c r="R707" s="970"/>
      <c r="S707" s="970"/>
      <c r="T707" s="970"/>
      <c r="U707" s="970"/>
      <c r="V707" s="970"/>
      <c r="W707" s="970"/>
      <c r="X707" s="970"/>
      <c r="Y707" s="970"/>
      <c r="Z707" s="970"/>
      <c r="AA707" s="970"/>
      <c r="AB707" s="970"/>
      <c r="AC707" s="970"/>
      <c r="AD707" s="970"/>
      <c r="AE707" s="970"/>
      <c r="AF707" s="970"/>
      <c r="AG707" s="970"/>
      <c r="AH707" s="970"/>
      <c r="AI707" s="970"/>
      <c r="AJ707" s="970"/>
    </row>
    <row r="708" spans="1:36" s="971" customFormat="1">
      <c r="A708" s="999" t="s">
        <v>416</v>
      </c>
      <c r="B708" s="1048"/>
      <c r="C708" s="1175" t="s">
        <v>1084</v>
      </c>
      <c r="D708" s="1175" t="s">
        <v>1085</v>
      </c>
      <c r="E708" s="1176" t="s">
        <v>1086</v>
      </c>
      <c r="F708" s="1175" t="s">
        <v>1087</v>
      </c>
      <c r="G708" s="1175" t="s">
        <v>1088</v>
      </c>
      <c r="H708" s="1175" t="s">
        <v>1089</v>
      </c>
      <c r="I708" s="1177" t="s">
        <v>1091</v>
      </c>
      <c r="J708" s="1036"/>
      <c r="K708" s="982"/>
      <c r="L708" s="970"/>
      <c r="M708" s="970"/>
      <c r="N708" s="970"/>
      <c r="O708" s="970"/>
      <c r="P708" s="970"/>
      <c r="Q708" s="970"/>
      <c r="R708" s="970"/>
      <c r="S708" s="970"/>
      <c r="T708" s="970"/>
      <c r="U708" s="970"/>
      <c r="V708" s="970"/>
      <c r="W708" s="970"/>
      <c r="X708" s="970"/>
      <c r="Y708" s="970"/>
      <c r="Z708" s="970"/>
      <c r="AA708" s="970"/>
      <c r="AB708" s="970"/>
      <c r="AC708" s="970"/>
      <c r="AD708" s="970"/>
      <c r="AE708" s="970"/>
      <c r="AF708" s="970"/>
      <c r="AG708" s="970"/>
      <c r="AH708" s="970"/>
      <c r="AI708" s="970"/>
      <c r="AJ708" s="970"/>
    </row>
    <row r="709" spans="1:36" s="971" customFormat="1">
      <c r="A709" s="999" t="s">
        <v>212</v>
      </c>
      <c r="B709" s="1048"/>
      <c r="C709" s="1178">
        <v>41074</v>
      </c>
      <c r="D709" s="1178">
        <v>41074</v>
      </c>
      <c r="E709" s="1178">
        <v>41074</v>
      </c>
      <c r="F709" s="1178">
        <v>41074</v>
      </c>
      <c r="G709" s="1178">
        <v>41074</v>
      </c>
      <c r="H709" s="1178">
        <v>41074</v>
      </c>
      <c r="I709" s="1179">
        <v>41074</v>
      </c>
      <c r="J709" s="1001"/>
      <c r="K709" s="1001"/>
      <c r="L709" s="970"/>
      <c r="M709" s="970"/>
      <c r="N709" s="970"/>
      <c r="O709" s="970"/>
      <c r="P709" s="970"/>
      <c r="Q709" s="970"/>
      <c r="R709" s="970"/>
      <c r="S709" s="970"/>
      <c r="T709" s="970"/>
      <c r="U709" s="970"/>
      <c r="V709" s="970"/>
      <c r="W709" s="970"/>
      <c r="X709" s="970"/>
      <c r="Y709" s="970"/>
      <c r="Z709" s="970"/>
      <c r="AA709" s="970"/>
      <c r="AB709" s="970"/>
      <c r="AC709" s="970"/>
      <c r="AD709" s="970"/>
      <c r="AE709" s="970"/>
      <c r="AF709" s="970"/>
      <c r="AG709" s="970"/>
      <c r="AH709" s="970"/>
      <c r="AI709" s="970"/>
      <c r="AJ709" s="970"/>
    </row>
    <row r="710" spans="1:36" s="971" customFormat="1">
      <c r="A710" s="999" t="s">
        <v>675</v>
      </c>
      <c r="B710" s="976"/>
      <c r="C710" s="1180">
        <v>654000000</v>
      </c>
      <c r="D710" s="1180">
        <v>654000000</v>
      </c>
      <c r="E710" s="1180">
        <v>674000000</v>
      </c>
      <c r="F710" s="1180">
        <v>458000000</v>
      </c>
      <c r="G710" s="1180">
        <v>327000000</v>
      </c>
      <c r="H710" s="1181">
        <v>500000000</v>
      </c>
      <c r="I710" s="1182">
        <v>185000000</v>
      </c>
      <c r="J710" s="985"/>
      <c r="K710" s="986"/>
      <c r="L710" s="970"/>
      <c r="M710" s="970"/>
      <c r="N710" s="970"/>
      <c r="O710" s="970"/>
      <c r="P710" s="970"/>
      <c r="Q710" s="970"/>
      <c r="R710" s="970"/>
      <c r="S710" s="970"/>
      <c r="T710" s="970"/>
      <c r="U710" s="970"/>
      <c r="V710" s="970"/>
      <c r="W710" s="970"/>
      <c r="X710" s="970"/>
      <c r="Y710" s="970"/>
      <c r="Z710" s="970"/>
      <c r="AA710" s="970"/>
      <c r="AB710" s="970"/>
      <c r="AC710" s="970"/>
      <c r="AD710" s="970"/>
      <c r="AE710" s="970"/>
      <c r="AF710" s="970"/>
      <c r="AG710" s="970"/>
      <c r="AH710" s="970"/>
      <c r="AI710" s="970"/>
      <c r="AJ710" s="970"/>
    </row>
    <row r="711" spans="1:36" s="971" customFormat="1">
      <c r="A711" s="999" t="s">
        <v>676</v>
      </c>
      <c r="B711" s="976"/>
      <c r="C711" s="1180">
        <v>654000000</v>
      </c>
      <c r="D711" s="1180">
        <v>654000000</v>
      </c>
      <c r="E711" s="1180">
        <v>674000000</v>
      </c>
      <c r="F711" s="1183">
        <v>458000000</v>
      </c>
      <c r="G711" s="1180">
        <v>327000000</v>
      </c>
      <c r="H711" s="1181">
        <v>500000000</v>
      </c>
      <c r="I711" s="1182">
        <v>185000000</v>
      </c>
      <c r="J711" s="985"/>
      <c r="K711" s="986"/>
      <c r="L711" s="970"/>
      <c r="M711" s="970"/>
      <c r="N711" s="970"/>
      <c r="O711" s="970"/>
      <c r="P711" s="970"/>
      <c r="Q711" s="970"/>
      <c r="R711" s="970"/>
      <c r="S711" s="970"/>
      <c r="T711" s="970"/>
      <c r="U711" s="970"/>
      <c r="V711" s="970"/>
      <c r="W711" s="970"/>
      <c r="X711" s="970"/>
      <c r="Y711" s="970"/>
      <c r="Z711" s="970"/>
      <c r="AA711" s="970"/>
      <c r="AB711" s="970"/>
      <c r="AC711" s="970"/>
      <c r="AD711" s="970"/>
      <c r="AE711" s="970"/>
      <c r="AF711" s="970"/>
      <c r="AG711" s="970"/>
      <c r="AH711" s="970"/>
      <c r="AI711" s="970"/>
      <c r="AJ711" s="970"/>
    </row>
    <row r="712" spans="1:36" s="971" customFormat="1">
      <c r="A712" s="999" t="s">
        <v>907</v>
      </c>
      <c r="B712" s="976"/>
      <c r="C712" s="1180">
        <v>0</v>
      </c>
      <c r="D712" s="1180">
        <v>0</v>
      </c>
      <c r="E712" s="1180">
        <v>0</v>
      </c>
      <c r="F712" s="1180">
        <v>0</v>
      </c>
      <c r="G712" s="1180">
        <v>0</v>
      </c>
      <c r="H712" s="1181">
        <v>0</v>
      </c>
      <c r="I712" s="1182">
        <v>0</v>
      </c>
      <c r="J712" s="985"/>
      <c r="K712" s="986"/>
      <c r="L712" s="1053"/>
      <c r="M712" s="970"/>
      <c r="N712" s="970"/>
      <c r="O712" s="970"/>
      <c r="P712" s="970"/>
      <c r="Q712" s="970"/>
      <c r="R712" s="970"/>
      <c r="S712" s="970"/>
      <c r="T712" s="970"/>
      <c r="U712" s="970"/>
      <c r="V712" s="970"/>
      <c r="W712" s="970"/>
      <c r="X712" s="970"/>
      <c r="Y712" s="970"/>
      <c r="Z712" s="970"/>
      <c r="AA712" s="970"/>
      <c r="AB712" s="970"/>
      <c r="AC712" s="970"/>
      <c r="AD712" s="970"/>
      <c r="AE712" s="970"/>
      <c r="AF712" s="970"/>
      <c r="AG712" s="970"/>
      <c r="AH712" s="970"/>
      <c r="AI712" s="970"/>
      <c r="AJ712" s="970"/>
    </row>
    <row r="713" spans="1:36" s="971" customFormat="1">
      <c r="A713" s="999" t="s">
        <v>677</v>
      </c>
      <c r="B713" s="976"/>
      <c r="C713" s="1180">
        <v>654000000</v>
      </c>
      <c r="D713" s="1180">
        <v>654000000</v>
      </c>
      <c r="E713" s="1180">
        <v>674000000</v>
      </c>
      <c r="F713" s="1180">
        <v>458000000</v>
      </c>
      <c r="G713" s="1180">
        <v>327000000</v>
      </c>
      <c r="H713" s="1181">
        <v>500000000</v>
      </c>
      <c r="I713" s="1182">
        <v>185000000</v>
      </c>
      <c r="J713" s="985"/>
      <c r="K713" s="986"/>
      <c r="L713" s="970"/>
      <c r="M713" s="970"/>
      <c r="N713" s="970"/>
      <c r="O713" s="970"/>
      <c r="P713" s="970"/>
      <c r="Q713" s="970"/>
      <c r="R713" s="970"/>
      <c r="S713" s="970"/>
      <c r="T713" s="970"/>
      <c r="U713" s="970"/>
      <c r="V713" s="970"/>
      <c r="W713" s="970"/>
      <c r="X713" s="970"/>
      <c r="Y713" s="970"/>
      <c r="Z713" s="970"/>
      <c r="AA713" s="970"/>
      <c r="AB713" s="970"/>
      <c r="AC713" s="970"/>
      <c r="AD713" s="970"/>
      <c r="AE713" s="970"/>
      <c r="AF713" s="970"/>
      <c r="AG713" s="970"/>
      <c r="AH713" s="970"/>
      <c r="AI713" s="970"/>
      <c r="AJ713" s="970"/>
    </row>
    <row r="714" spans="1:36" s="971" customFormat="1">
      <c r="A714" s="999" t="s">
        <v>215</v>
      </c>
      <c r="B714" s="976"/>
      <c r="C714" s="1184">
        <v>1</v>
      </c>
      <c r="D714" s="1184">
        <v>1</v>
      </c>
      <c r="E714" s="1184">
        <v>1</v>
      </c>
      <c r="F714" s="1184">
        <v>1</v>
      </c>
      <c r="G714" s="1184">
        <v>1</v>
      </c>
      <c r="H714" s="1184">
        <v>1.5528</v>
      </c>
      <c r="I714" s="1185">
        <v>1</v>
      </c>
      <c r="J714" s="1007"/>
      <c r="K714" s="1007"/>
      <c r="L714" s="1007"/>
      <c r="M714" s="970"/>
      <c r="N714" s="970"/>
      <c r="O714" s="970"/>
      <c r="P714" s="970"/>
      <c r="Q714" s="970"/>
      <c r="R714" s="970"/>
      <c r="S714" s="970"/>
      <c r="T714" s="970"/>
      <c r="U714" s="970"/>
      <c r="V714" s="970"/>
      <c r="W714" s="970"/>
      <c r="X714" s="970"/>
      <c r="Y714" s="970"/>
      <c r="Z714" s="970"/>
      <c r="AA714" s="970"/>
      <c r="AB714" s="970"/>
      <c r="AC714" s="970"/>
      <c r="AD714" s="970"/>
      <c r="AE714" s="970"/>
      <c r="AF714" s="970"/>
      <c r="AG714" s="970"/>
      <c r="AH714" s="970"/>
      <c r="AI714" s="970"/>
      <c r="AJ714" s="970"/>
    </row>
    <row r="715" spans="1:36" s="971" customFormat="1">
      <c r="A715" s="999" t="s">
        <v>402</v>
      </c>
      <c r="B715" s="976"/>
      <c r="C715" s="1184">
        <v>1</v>
      </c>
      <c r="D715" s="1184">
        <v>1</v>
      </c>
      <c r="E715" s="1184">
        <v>1</v>
      </c>
      <c r="F715" s="1184">
        <v>1</v>
      </c>
      <c r="G715" s="1184">
        <v>1</v>
      </c>
      <c r="H715" s="1184">
        <v>1</v>
      </c>
      <c r="I715" s="1185">
        <v>1</v>
      </c>
      <c r="J715" s="1007"/>
      <c r="K715" s="1007"/>
      <c r="L715" s="970"/>
      <c r="M715" s="970"/>
      <c r="N715" s="970"/>
      <c r="O715" s="970"/>
      <c r="P715" s="970"/>
      <c r="Q715" s="970"/>
      <c r="R715" s="970"/>
      <c r="S715" s="970"/>
      <c r="T715" s="970"/>
      <c r="U715" s="970"/>
      <c r="V715" s="970"/>
      <c r="W715" s="970"/>
      <c r="X715" s="970"/>
      <c r="Y715" s="970"/>
      <c r="Z715" s="970"/>
      <c r="AA715" s="970"/>
      <c r="AB715" s="970"/>
      <c r="AC715" s="970"/>
      <c r="AD715" s="970"/>
      <c r="AE715" s="970"/>
      <c r="AF715" s="970"/>
      <c r="AG715" s="970"/>
      <c r="AH715" s="970"/>
      <c r="AI715" s="970"/>
      <c r="AJ715" s="970"/>
    </row>
    <row r="716" spans="1:36" s="971" customFormat="1">
      <c r="A716" s="999" t="s">
        <v>403</v>
      </c>
      <c r="B716" s="976"/>
      <c r="C716" s="1184">
        <v>1</v>
      </c>
      <c r="D716" s="1184">
        <v>1</v>
      </c>
      <c r="E716" s="1184">
        <v>1</v>
      </c>
      <c r="F716" s="1184">
        <v>1</v>
      </c>
      <c r="G716" s="1184">
        <v>1</v>
      </c>
      <c r="H716" s="1184">
        <v>1</v>
      </c>
      <c r="I716" s="1185">
        <v>1</v>
      </c>
      <c r="J716" s="1007"/>
      <c r="K716" s="1007"/>
      <c r="L716" s="970"/>
      <c r="M716" s="970"/>
      <c r="N716" s="970"/>
      <c r="O716" s="970"/>
      <c r="P716" s="970"/>
      <c r="Q716" s="970"/>
      <c r="R716" s="970"/>
      <c r="S716" s="970"/>
      <c r="T716" s="970"/>
      <c r="U716" s="970"/>
      <c r="V716" s="970"/>
      <c r="W716" s="970"/>
      <c r="X716" s="970"/>
      <c r="Y716" s="970"/>
      <c r="Z716" s="970"/>
      <c r="AA716" s="970"/>
      <c r="AB716" s="970"/>
      <c r="AC716" s="970"/>
      <c r="AD716" s="970"/>
      <c r="AE716" s="970"/>
      <c r="AF716" s="970"/>
      <c r="AG716" s="970"/>
      <c r="AH716" s="970"/>
      <c r="AI716" s="970"/>
      <c r="AJ716" s="970"/>
    </row>
    <row r="717" spans="1:36" s="971" customFormat="1">
      <c r="A717" s="999" t="s">
        <v>678</v>
      </c>
      <c r="B717" s="976"/>
      <c r="C717" s="1180">
        <v>0</v>
      </c>
      <c r="D717" s="1180">
        <v>0</v>
      </c>
      <c r="E717" s="1180">
        <v>0</v>
      </c>
      <c r="F717" s="1180">
        <v>0</v>
      </c>
      <c r="G717" s="1180">
        <v>0</v>
      </c>
      <c r="H717" s="1181">
        <v>0</v>
      </c>
      <c r="I717" s="1182">
        <v>0</v>
      </c>
      <c r="J717" s="985"/>
      <c r="K717" s="986"/>
      <c r="L717" s="970"/>
      <c r="M717" s="970"/>
      <c r="N717" s="970"/>
      <c r="O717" s="970"/>
      <c r="P717" s="970"/>
      <c r="Q717" s="970"/>
      <c r="R717" s="970"/>
      <c r="S717" s="970"/>
      <c r="T717" s="970"/>
      <c r="U717" s="970"/>
      <c r="V717" s="970"/>
      <c r="W717" s="970"/>
      <c r="X717" s="970"/>
      <c r="Y717" s="970"/>
      <c r="Z717" s="970"/>
      <c r="AA717" s="970"/>
      <c r="AB717" s="970"/>
      <c r="AC717" s="970"/>
      <c r="AD717" s="970"/>
      <c r="AE717" s="970"/>
      <c r="AF717" s="970"/>
      <c r="AG717" s="970"/>
      <c r="AH717" s="970"/>
      <c r="AI717" s="970"/>
      <c r="AJ717" s="970"/>
    </row>
    <row r="718" spans="1:36" s="971" customFormat="1">
      <c r="A718" s="999" t="s">
        <v>679</v>
      </c>
      <c r="B718" s="976"/>
      <c r="C718" s="1180">
        <v>654000000</v>
      </c>
      <c r="D718" s="1180">
        <v>654000000</v>
      </c>
      <c r="E718" s="1180">
        <v>674000000</v>
      </c>
      <c r="F718" s="1180">
        <v>458000000</v>
      </c>
      <c r="G718" s="1180">
        <v>327000000</v>
      </c>
      <c r="H718" s="1181">
        <v>500000000</v>
      </c>
      <c r="I718" s="1182">
        <v>185000000</v>
      </c>
      <c r="J718" s="985"/>
      <c r="K718" s="986"/>
      <c r="L718" s="970"/>
      <c r="M718" s="970"/>
      <c r="N718" s="970"/>
      <c r="O718" s="970"/>
      <c r="P718" s="970"/>
      <c r="Q718" s="970"/>
      <c r="R718" s="970"/>
      <c r="S718" s="970"/>
      <c r="T718" s="970"/>
      <c r="U718" s="970"/>
      <c r="V718" s="970"/>
      <c r="W718" s="970"/>
      <c r="X718" s="970"/>
      <c r="Y718" s="970"/>
      <c r="Z718" s="970"/>
      <c r="AA718" s="970"/>
      <c r="AB718" s="970"/>
      <c r="AC718" s="970"/>
      <c r="AD718" s="970"/>
      <c r="AE718" s="970"/>
      <c r="AF718" s="970"/>
      <c r="AG718" s="970"/>
      <c r="AH718" s="970"/>
      <c r="AI718" s="970"/>
      <c r="AJ718" s="970"/>
    </row>
    <row r="719" spans="1:36" s="971" customFormat="1">
      <c r="A719" s="999" t="s">
        <v>680</v>
      </c>
      <c r="B719" s="976"/>
      <c r="C719" s="1180">
        <v>0</v>
      </c>
      <c r="D719" s="1180">
        <v>0</v>
      </c>
      <c r="E719" s="1180">
        <v>0</v>
      </c>
      <c r="F719" s="1180">
        <v>0</v>
      </c>
      <c r="G719" s="1180">
        <v>0</v>
      </c>
      <c r="H719" s="1181">
        <v>0</v>
      </c>
      <c r="I719" s="1182">
        <v>0</v>
      </c>
      <c r="J719" s="985"/>
      <c r="K719" s="986"/>
      <c r="L719" s="970"/>
      <c r="M719" s="970"/>
      <c r="N719" s="970"/>
      <c r="O719" s="970"/>
      <c r="P719" s="970"/>
      <c r="Q719" s="970"/>
      <c r="R719" s="970"/>
      <c r="S719" s="970"/>
      <c r="T719" s="970"/>
      <c r="U719" s="970"/>
      <c r="V719" s="970"/>
      <c r="W719" s="970"/>
      <c r="X719" s="970"/>
      <c r="Y719" s="970"/>
      <c r="Z719" s="970"/>
      <c r="AA719" s="970"/>
      <c r="AB719" s="970"/>
      <c r="AC719" s="970"/>
      <c r="AD719" s="970"/>
      <c r="AE719" s="970"/>
      <c r="AF719" s="970"/>
      <c r="AG719" s="970"/>
      <c r="AH719" s="970"/>
      <c r="AI719" s="970"/>
      <c r="AJ719" s="970"/>
    </row>
    <row r="720" spans="1:36" s="971" customFormat="1">
      <c r="A720" s="1163" t="s">
        <v>121</v>
      </c>
      <c r="B720" s="1164"/>
      <c r="C720" s="1180">
        <v>0</v>
      </c>
      <c r="D720" s="1180">
        <v>0</v>
      </c>
      <c r="E720" s="1180">
        <v>0</v>
      </c>
      <c r="F720" s="1180">
        <v>0</v>
      </c>
      <c r="G720" s="1180">
        <v>0</v>
      </c>
      <c r="H720" s="1181">
        <v>0</v>
      </c>
      <c r="I720" s="1182">
        <v>0</v>
      </c>
      <c r="J720" s="985"/>
      <c r="K720" s="986"/>
      <c r="L720" s="970"/>
      <c r="M720" s="970"/>
      <c r="N720" s="970"/>
      <c r="O720" s="970"/>
      <c r="P720" s="970"/>
      <c r="Q720" s="970"/>
      <c r="R720" s="970"/>
      <c r="S720" s="970"/>
      <c r="T720" s="970"/>
      <c r="U720" s="970"/>
      <c r="V720" s="970"/>
      <c r="W720" s="970"/>
      <c r="X720" s="970"/>
      <c r="Y720" s="970"/>
      <c r="Z720" s="970"/>
      <c r="AA720" s="970"/>
      <c r="AB720" s="970"/>
      <c r="AC720" s="970"/>
      <c r="AD720" s="970"/>
      <c r="AE720" s="970"/>
      <c r="AF720" s="970"/>
      <c r="AG720" s="970"/>
      <c r="AH720" s="970"/>
      <c r="AI720" s="970"/>
      <c r="AJ720" s="970"/>
    </row>
    <row r="721" spans="1:40" s="971" customFormat="1">
      <c r="A721" s="999" t="s">
        <v>757</v>
      </c>
      <c r="B721" s="976"/>
      <c r="C721" s="1181" t="s">
        <v>681</v>
      </c>
      <c r="D721" s="1181" t="s">
        <v>681</v>
      </c>
      <c r="E721" s="1181" t="s">
        <v>681</v>
      </c>
      <c r="F721" s="1181" t="s">
        <v>681</v>
      </c>
      <c r="G721" s="1181" t="s">
        <v>681</v>
      </c>
      <c r="H721" s="1181" t="s">
        <v>681</v>
      </c>
      <c r="I721" s="1186" t="s">
        <v>430</v>
      </c>
      <c r="J721" s="987"/>
      <c r="K721" s="982"/>
      <c r="L721" s="970"/>
      <c r="M721" s="970"/>
      <c r="N721" s="970"/>
      <c r="O721" s="970"/>
      <c r="P721" s="970"/>
      <c r="Q721" s="970"/>
      <c r="R721" s="970"/>
      <c r="S721" s="970"/>
      <c r="T721" s="970"/>
      <c r="U721" s="970"/>
      <c r="V721" s="970"/>
      <c r="W721" s="970"/>
      <c r="X721" s="970"/>
      <c r="Y721" s="970"/>
      <c r="Z721" s="970"/>
      <c r="AA721" s="970"/>
      <c r="AB721" s="970"/>
      <c r="AC721" s="970"/>
      <c r="AD721" s="970"/>
      <c r="AE721" s="970"/>
      <c r="AF721" s="970"/>
      <c r="AG721" s="970"/>
      <c r="AH721" s="970"/>
      <c r="AI721" s="970"/>
      <c r="AJ721" s="970"/>
    </row>
    <row r="722" spans="1:40" s="971" customFormat="1">
      <c r="A722" s="999" t="s">
        <v>682</v>
      </c>
      <c r="B722" s="976"/>
      <c r="C722" s="1187" t="s">
        <v>685</v>
      </c>
      <c r="D722" s="1187" t="s">
        <v>685</v>
      </c>
      <c r="E722" s="1187" t="s">
        <v>685</v>
      </c>
      <c r="F722" s="1187" t="s">
        <v>685</v>
      </c>
      <c r="G722" s="1187" t="s">
        <v>685</v>
      </c>
      <c r="H722" s="1187" t="s">
        <v>683</v>
      </c>
      <c r="I722" s="1188" t="s">
        <v>685</v>
      </c>
      <c r="J722" s="1012"/>
      <c r="K722" s="1012"/>
      <c r="L722" s="970"/>
      <c r="M722" s="970"/>
      <c r="N722" s="970"/>
      <c r="O722" s="970"/>
      <c r="P722" s="970"/>
      <c r="Q722" s="970"/>
      <c r="R722" s="970"/>
      <c r="S722" s="970"/>
      <c r="T722" s="970"/>
      <c r="U722" s="970"/>
      <c r="V722" s="970"/>
      <c r="W722" s="970"/>
      <c r="X722" s="970"/>
      <c r="Y722" s="970"/>
      <c r="Z722" s="970"/>
      <c r="AA722" s="970"/>
      <c r="AB722" s="970"/>
      <c r="AC722" s="970"/>
      <c r="AD722" s="970"/>
      <c r="AE722" s="970"/>
      <c r="AF722" s="970"/>
      <c r="AG722" s="970"/>
      <c r="AH722" s="970"/>
      <c r="AI722" s="970"/>
      <c r="AJ722" s="970"/>
    </row>
    <row r="723" spans="1:40" s="971" customFormat="1">
      <c r="A723" s="999" t="s">
        <v>686</v>
      </c>
      <c r="B723" s="976"/>
      <c r="C723" s="1189">
        <v>5.2313000000000004E-3</v>
      </c>
      <c r="D723" s="1189">
        <v>5.2313000000000004E-3</v>
      </c>
      <c r="E723" s="1189">
        <v>5.2313000000000004E-3</v>
      </c>
      <c r="F723" s="1189">
        <v>5.2313000000000004E-3</v>
      </c>
      <c r="G723" s="1189">
        <v>5.2313000000000004E-3</v>
      </c>
      <c r="H723" s="1189">
        <v>3.1150000000000001E-3</v>
      </c>
      <c r="I723" s="1190">
        <v>5.2313000000000004E-3</v>
      </c>
      <c r="J723" s="1014"/>
      <c r="K723" s="1014"/>
      <c r="L723" s="970"/>
      <c r="M723" s="970"/>
      <c r="N723" s="970"/>
      <c r="O723" s="970"/>
      <c r="P723" s="970"/>
      <c r="Q723" s="970"/>
      <c r="R723" s="970"/>
      <c r="S723" s="970"/>
      <c r="T723" s="970"/>
      <c r="U723" s="970"/>
      <c r="V723" s="970"/>
      <c r="W723" s="970"/>
      <c r="X723" s="970"/>
      <c r="Y723" s="970"/>
      <c r="Z723" s="970"/>
      <c r="AA723" s="970"/>
      <c r="AB723" s="970"/>
      <c r="AC723" s="970"/>
      <c r="AD723" s="970"/>
      <c r="AE723" s="970"/>
      <c r="AF723" s="970"/>
      <c r="AG723" s="970"/>
      <c r="AH723" s="970"/>
      <c r="AI723" s="970"/>
      <c r="AJ723" s="970"/>
    </row>
    <row r="724" spans="1:40" s="971" customFormat="1">
      <c r="A724" s="999" t="s">
        <v>687</v>
      </c>
      <c r="B724" s="976"/>
      <c r="C724" s="1189">
        <v>1.2E-2</v>
      </c>
      <c r="D724" s="1189">
        <v>1.2E-2</v>
      </c>
      <c r="E724" s="1189">
        <v>1.55E-2</v>
      </c>
      <c r="F724" s="1189">
        <v>1.2E-2</v>
      </c>
      <c r="G724" s="1189">
        <v>1.2E-2</v>
      </c>
      <c r="H724" s="1189">
        <v>1.2E-2</v>
      </c>
      <c r="I724" s="1190">
        <v>7.0000000000000001E-3</v>
      </c>
      <c r="J724" s="1014"/>
      <c r="K724" s="1014"/>
      <c r="L724" s="970"/>
      <c r="M724" s="970"/>
      <c r="N724" s="970"/>
      <c r="O724" s="970"/>
      <c r="P724" s="970"/>
      <c r="Q724" s="970"/>
      <c r="R724" s="970"/>
      <c r="S724" s="970"/>
      <c r="T724" s="970"/>
      <c r="U724" s="970"/>
      <c r="V724" s="970"/>
      <c r="W724" s="970"/>
      <c r="X724" s="970"/>
      <c r="Y724" s="970"/>
      <c r="Z724" s="970"/>
      <c r="AA724" s="970"/>
      <c r="AB724" s="970"/>
      <c r="AC724" s="970"/>
      <c r="AD724" s="970"/>
      <c r="AE724" s="970"/>
      <c r="AF724" s="970"/>
      <c r="AG724" s="970"/>
      <c r="AH724" s="970"/>
      <c r="AI724" s="970"/>
      <c r="AJ724" s="970"/>
    </row>
    <row r="725" spans="1:40" s="971" customFormat="1">
      <c r="A725" s="999" t="s">
        <v>909</v>
      </c>
      <c r="B725" s="976"/>
      <c r="C725" s="1180">
        <v>2840473.5846575345</v>
      </c>
      <c r="D725" s="1180">
        <v>2840473.5846575345</v>
      </c>
      <c r="E725" s="1180">
        <v>3521935.4805479455</v>
      </c>
      <c r="F725" s="1180">
        <v>1989200.1556164385</v>
      </c>
      <c r="G725" s="1180">
        <v>1420236.7923287672</v>
      </c>
      <c r="H725" s="1181">
        <v>1931361.111111111</v>
      </c>
      <c r="I725" s="1182">
        <v>570347.19452054799</v>
      </c>
      <c r="J725" s="985"/>
      <c r="K725" s="986"/>
      <c r="L725" s="970"/>
      <c r="M725" s="970"/>
      <c r="N725" s="970"/>
      <c r="O725" s="970"/>
      <c r="P725" s="970"/>
      <c r="Q725" s="970"/>
      <c r="R725" s="970"/>
      <c r="S725" s="970"/>
      <c r="T725" s="970"/>
      <c r="U725" s="970"/>
      <c r="V725" s="970"/>
      <c r="W725" s="970"/>
      <c r="X725" s="970"/>
      <c r="Y725" s="970"/>
      <c r="Z725" s="970"/>
      <c r="AA725" s="970"/>
      <c r="AB725" s="970"/>
      <c r="AC725" s="970"/>
      <c r="AD725" s="970"/>
      <c r="AE725" s="970"/>
      <c r="AF725" s="970"/>
      <c r="AG725" s="970"/>
      <c r="AH725" s="970"/>
      <c r="AI725" s="970"/>
      <c r="AJ725" s="970"/>
    </row>
    <row r="726" spans="1:40" s="971" customFormat="1">
      <c r="A726" s="1016" t="s">
        <v>906</v>
      </c>
      <c r="B726" s="976"/>
      <c r="C726" s="1180">
        <v>2840473.58</v>
      </c>
      <c r="D726" s="1180">
        <v>2840473.58</v>
      </c>
      <c r="E726" s="1180">
        <v>3521935.48</v>
      </c>
      <c r="F726" s="1180">
        <v>1989200.16</v>
      </c>
      <c r="G726" s="1180">
        <v>1420236.79</v>
      </c>
      <c r="H726" s="1181">
        <v>1931361.1045662803</v>
      </c>
      <c r="I726" s="1182">
        <v>570347.18999999994</v>
      </c>
      <c r="J726" s="985"/>
      <c r="K726" s="986"/>
      <c r="L726" s="970"/>
      <c r="M726" s="970"/>
      <c r="N726" s="970"/>
      <c r="O726" s="970"/>
      <c r="P726" s="970"/>
      <c r="Q726" s="970"/>
      <c r="R726" s="970"/>
      <c r="S726" s="970"/>
      <c r="T726" s="970"/>
      <c r="U726" s="970"/>
      <c r="V726" s="970"/>
      <c r="W726" s="970"/>
      <c r="X726" s="970"/>
      <c r="Y726" s="970"/>
      <c r="Z726" s="970"/>
      <c r="AA726" s="970"/>
      <c r="AB726" s="970"/>
      <c r="AC726" s="970"/>
      <c r="AD726" s="970"/>
      <c r="AE726" s="970"/>
      <c r="AF726" s="970"/>
      <c r="AG726" s="970"/>
      <c r="AH726" s="970"/>
      <c r="AI726" s="970"/>
      <c r="AJ726" s="970"/>
    </row>
    <row r="727" spans="1:40" s="971" customFormat="1">
      <c r="A727" s="999" t="s">
        <v>688</v>
      </c>
      <c r="B727" s="976"/>
      <c r="C727" s="1180">
        <v>4.6575344167649746E-3</v>
      </c>
      <c r="D727" s="1180">
        <v>4.6575344167649746E-3</v>
      </c>
      <c r="E727" s="1180">
        <v>5.4794549942016602E-4</v>
      </c>
      <c r="F727" s="1180">
        <v>-4.3835614342242479E-3</v>
      </c>
      <c r="G727" s="1180">
        <v>2.3287672083824873E-3</v>
      </c>
      <c r="H727" s="1181">
        <v>6.5448307432234287E-3</v>
      </c>
      <c r="I727" s="1182">
        <v>4.5205480419099331E-3</v>
      </c>
      <c r="J727" s="985"/>
      <c r="K727" s="986"/>
      <c r="L727" s="970"/>
      <c r="M727" s="970"/>
      <c r="N727" s="970"/>
      <c r="O727" s="970"/>
      <c r="P727" s="970"/>
      <c r="Q727" s="970"/>
      <c r="R727" s="970"/>
      <c r="S727" s="970"/>
      <c r="T727" s="970"/>
      <c r="U727" s="970"/>
      <c r="V727" s="970"/>
      <c r="W727" s="970"/>
      <c r="X727" s="970"/>
      <c r="Y727" s="970"/>
      <c r="Z727" s="970"/>
      <c r="AA727" s="970"/>
      <c r="AB727" s="970"/>
      <c r="AC727" s="970"/>
      <c r="AD727" s="970"/>
      <c r="AE727" s="970"/>
      <c r="AF727" s="970"/>
      <c r="AG727" s="970"/>
      <c r="AH727" s="970"/>
      <c r="AI727" s="970"/>
      <c r="AJ727" s="970"/>
    </row>
    <row r="728" spans="1:40" s="971" customFormat="1">
      <c r="A728" s="999" t="s">
        <v>708</v>
      </c>
      <c r="B728" s="976"/>
      <c r="C728" s="1180">
        <v>4.6575344167649746E-3</v>
      </c>
      <c r="D728" s="1180">
        <v>4.6575344167649746E-3</v>
      </c>
      <c r="E728" s="1180">
        <v>5.4794549942016602E-4</v>
      </c>
      <c r="F728" s="1180">
        <v>-4.3835614342242479E-3</v>
      </c>
      <c r="G728" s="1180">
        <v>2.3287672083824873E-3</v>
      </c>
      <c r="H728" s="1181">
        <v>3.5692609380930662E-3</v>
      </c>
      <c r="I728" s="1182">
        <v>4.5205480419099331E-3</v>
      </c>
      <c r="J728" s="985"/>
      <c r="K728" s="986"/>
      <c r="L728" s="970"/>
      <c r="M728" s="970"/>
      <c r="N728" s="970"/>
      <c r="O728" s="970"/>
      <c r="P728" s="970"/>
      <c r="Q728" s="970"/>
      <c r="R728" s="970"/>
      <c r="S728" s="970"/>
      <c r="T728" s="970"/>
      <c r="U728" s="970"/>
      <c r="V728" s="970"/>
      <c r="W728" s="970"/>
      <c r="X728" s="970"/>
      <c r="Y728" s="970"/>
      <c r="Z728" s="970"/>
      <c r="AA728" s="970"/>
      <c r="AB728" s="970"/>
      <c r="AC728" s="970"/>
      <c r="AD728" s="970"/>
      <c r="AE728" s="970"/>
      <c r="AF728" s="970"/>
      <c r="AG728" s="970"/>
      <c r="AH728" s="970"/>
      <c r="AI728" s="970"/>
      <c r="AJ728" s="970"/>
    </row>
    <row r="729" spans="1:40" s="971" customFormat="1">
      <c r="A729" s="999" t="s">
        <v>689</v>
      </c>
      <c r="B729" s="976"/>
      <c r="C729" s="1173">
        <v>3.18</v>
      </c>
      <c r="D729" s="1173">
        <v>3.68</v>
      </c>
      <c r="E729" s="1173">
        <v>4.6900000000000004</v>
      </c>
      <c r="F729" s="1173">
        <v>4.6900000000000004</v>
      </c>
      <c r="G729" s="1173">
        <v>4.18</v>
      </c>
      <c r="H729" s="1173">
        <v>2.95</v>
      </c>
      <c r="I729" s="1174">
        <v>4.6900000000000004</v>
      </c>
      <c r="J729" s="980"/>
      <c r="K729" s="980"/>
      <c r="L729" s="970"/>
      <c r="M729" s="970"/>
      <c r="N729" s="970"/>
      <c r="O729" s="970"/>
      <c r="P729" s="970"/>
      <c r="Q729" s="970"/>
      <c r="R729" s="970"/>
      <c r="S729" s="970"/>
      <c r="T729" s="970"/>
      <c r="U729" s="970"/>
      <c r="V729" s="970"/>
      <c r="W729" s="970"/>
      <c r="X729" s="970"/>
      <c r="Y729" s="970"/>
      <c r="Z729" s="970"/>
      <c r="AA729" s="970"/>
      <c r="AB729" s="970"/>
      <c r="AC729" s="970"/>
      <c r="AD729" s="970"/>
      <c r="AE729" s="970"/>
      <c r="AF729" s="970"/>
      <c r="AG729" s="970"/>
      <c r="AH729" s="970"/>
      <c r="AI729" s="970"/>
      <c r="AJ729" s="970"/>
    </row>
    <row r="730" spans="1:40" s="971" customFormat="1">
      <c r="A730" s="999" t="s">
        <v>690</v>
      </c>
      <c r="B730" s="976"/>
      <c r="C730" s="1178">
        <v>42236</v>
      </c>
      <c r="D730" s="1178">
        <v>42420</v>
      </c>
      <c r="E730" s="1178">
        <v>42786</v>
      </c>
      <c r="F730" s="1178">
        <v>42786</v>
      </c>
      <c r="G730" s="1178">
        <v>42602</v>
      </c>
      <c r="H730" s="1178">
        <v>42236</v>
      </c>
      <c r="I730" s="1179">
        <v>42967</v>
      </c>
      <c r="J730" s="1001"/>
      <c r="K730" s="988"/>
      <c r="L730" s="970"/>
      <c r="M730" s="1057"/>
      <c r="N730" s="1057"/>
      <c r="O730" s="1057"/>
      <c r="P730" s="1058"/>
      <c r="Q730" s="1057"/>
      <c r="R730" s="1057"/>
      <c r="S730" s="1057"/>
      <c r="T730" s="1057"/>
      <c r="U730" s="1057"/>
      <c r="V730" s="1057"/>
      <c r="W730" s="1057"/>
      <c r="X730" s="1057"/>
      <c r="Y730" s="1057"/>
      <c r="Z730" s="1058"/>
      <c r="AA730" s="1057"/>
      <c r="AB730" s="1057"/>
      <c r="AC730" s="1057"/>
      <c r="AD730" s="1057"/>
      <c r="AE730" s="1057"/>
      <c r="AF730" s="1057"/>
      <c r="AG730" s="1057"/>
      <c r="AH730" s="1057"/>
      <c r="AI730" s="1057"/>
      <c r="AJ730" s="1057"/>
    </row>
    <row r="731" spans="1:40" s="971" customFormat="1">
      <c r="A731" s="999" t="s">
        <v>691</v>
      </c>
      <c r="B731" s="976"/>
      <c r="C731" s="1191">
        <v>42236</v>
      </c>
      <c r="D731" s="1178">
        <v>42420</v>
      </c>
      <c r="E731" s="1178">
        <v>42786</v>
      </c>
      <c r="F731" s="1178">
        <v>42786</v>
      </c>
      <c r="G731" s="1178">
        <v>42602</v>
      </c>
      <c r="H731" s="1178">
        <v>42236</v>
      </c>
      <c r="I731" s="1192">
        <v>42786</v>
      </c>
      <c r="J731" s="988"/>
      <c r="K731" s="988"/>
      <c r="L731" s="970"/>
      <c r="M731" s="1059"/>
      <c r="N731" s="1059"/>
      <c r="O731" s="1059"/>
      <c r="P731" s="1059"/>
      <c r="Q731" s="1059"/>
      <c r="R731" s="1059"/>
      <c r="S731" s="1059"/>
      <c r="T731" s="1059"/>
      <c r="U731" s="1059"/>
      <c r="V731" s="1059"/>
      <c r="W731" s="1059"/>
      <c r="X731" s="1059"/>
      <c r="Y731" s="1059"/>
      <c r="Z731" s="1059"/>
      <c r="AA731" s="1059"/>
      <c r="AB731" s="1059"/>
      <c r="AC731" s="1059"/>
      <c r="AD731" s="1059"/>
      <c r="AE731" s="1059"/>
      <c r="AF731" s="1059"/>
      <c r="AG731" s="1059"/>
      <c r="AH731" s="1059"/>
      <c r="AI731" s="1059"/>
      <c r="AJ731" s="1059"/>
      <c r="AK731" s="1060"/>
      <c r="AL731" s="1060"/>
      <c r="AM731" s="1060"/>
      <c r="AN731" s="1060"/>
    </row>
    <row r="732" spans="1:40" s="971" customFormat="1">
      <c r="A732" s="999" t="s">
        <v>692</v>
      </c>
      <c r="B732" s="976" t="s">
        <v>639</v>
      </c>
      <c r="C732" s="1178">
        <v>57304</v>
      </c>
      <c r="D732" s="1191">
        <v>57304</v>
      </c>
      <c r="E732" s="1191">
        <v>57304</v>
      </c>
      <c r="F732" s="1191">
        <v>57304</v>
      </c>
      <c r="G732" s="1191">
        <v>57304</v>
      </c>
      <c r="H732" s="1191">
        <v>57304</v>
      </c>
      <c r="I732" s="1192">
        <v>57304</v>
      </c>
      <c r="J732" s="988"/>
      <c r="K732" s="988"/>
      <c r="L732" s="970"/>
      <c r="M732" s="1061"/>
      <c r="N732" s="1061"/>
      <c r="O732" s="1061"/>
      <c r="P732" s="1061"/>
      <c r="Q732" s="1061"/>
      <c r="R732" s="1061"/>
      <c r="S732" s="1061"/>
      <c r="T732" s="1061"/>
      <c r="U732" s="1061"/>
      <c r="V732" s="1061"/>
      <c r="W732" s="1061"/>
      <c r="X732" s="1061"/>
      <c r="Y732" s="1061"/>
      <c r="Z732" s="1061"/>
      <c r="AA732" s="1061"/>
      <c r="AB732" s="1061"/>
      <c r="AC732" s="1061"/>
      <c r="AD732" s="1061"/>
      <c r="AE732" s="1061"/>
      <c r="AF732" s="1061"/>
      <c r="AG732" s="1061"/>
      <c r="AH732" s="1061"/>
      <c r="AI732" s="1061"/>
      <c r="AJ732" s="1061"/>
      <c r="AK732" s="1060"/>
      <c r="AL732" s="1060"/>
      <c r="AM732" s="1060"/>
      <c r="AN732" s="1060"/>
    </row>
    <row r="733" spans="1:40" s="971" customFormat="1">
      <c r="A733" s="1062" t="s">
        <v>214</v>
      </c>
      <c r="B733" s="976"/>
      <c r="C733" s="1191" t="s">
        <v>561</v>
      </c>
      <c r="D733" s="1191" t="s">
        <v>561</v>
      </c>
      <c r="E733" s="1191" t="s">
        <v>561</v>
      </c>
      <c r="F733" s="1191" t="s">
        <v>561</v>
      </c>
      <c r="G733" s="1191" t="s">
        <v>561</v>
      </c>
      <c r="H733" s="1191" t="s">
        <v>561</v>
      </c>
      <c r="I733" s="1192" t="s">
        <v>561</v>
      </c>
      <c r="J733" s="988"/>
      <c r="K733" s="988"/>
      <c r="L733" s="988"/>
      <c r="M733" s="970"/>
      <c r="N733" s="970"/>
      <c r="O733" s="970"/>
      <c r="P733" s="970"/>
      <c r="Q733" s="970"/>
      <c r="R733" s="970"/>
      <c r="S733" s="970"/>
      <c r="T733" s="970"/>
      <c r="U733" s="970"/>
      <c r="V733" s="970"/>
      <c r="W733" s="970"/>
      <c r="X733" s="970"/>
      <c r="Y733" s="970"/>
      <c r="Z733" s="970"/>
      <c r="AA733" s="970"/>
      <c r="AB733" s="970"/>
      <c r="AC733" s="970"/>
      <c r="AD733" s="970"/>
      <c r="AE733" s="970"/>
      <c r="AF733" s="970"/>
      <c r="AG733" s="970"/>
      <c r="AH733" s="970"/>
      <c r="AI733" s="970"/>
      <c r="AJ733" s="970"/>
    </row>
    <row r="734" spans="1:40" s="971" customFormat="1">
      <c r="A734" s="1062"/>
      <c r="B734" s="976"/>
      <c r="C734" s="1191"/>
      <c r="D734" s="1191"/>
      <c r="E734" s="1191"/>
      <c r="F734" s="1191"/>
      <c r="G734" s="1191"/>
      <c r="H734" s="1191"/>
      <c r="I734" s="1193"/>
      <c r="J734" s="988"/>
      <c r="K734" s="988"/>
      <c r="L734" s="988"/>
      <c r="M734" s="970"/>
      <c r="N734" s="970"/>
      <c r="O734" s="970"/>
      <c r="P734" s="970"/>
      <c r="Q734" s="970"/>
      <c r="R734" s="970"/>
      <c r="S734" s="970"/>
      <c r="T734" s="970"/>
      <c r="U734" s="970"/>
      <c r="V734" s="970"/>
      <c r="W734" s="970"/>
      <c r="X734" s="970"/>
      <c r="Y734" s="970"/>
      <c r="Z734" s="970"/>
      <c r="AA734" s="970"/>
      <c r="AB734" s="970"/>
      <c r="AC734" s="970"/>
      <c r="AD734" s="970"/>
      <c r="AE734" s="970"/>
      <c r="AF734" s="970"/>
      <c r="AG734" s="970"/>
      <c r="AH734" s="970"/>
      <c r="AI734" s="970"/>
      <c r="AJ734" s="970"/>
    </row>
    <row r="735" spans="1:40" s="971" customFormat="1">
      <c r="A735" s="1021" t="s">
        <v>369</v>
      </c>
      <c r="B735" s="990"/>
      <c r="C735" s="1194"/>
      <c r="D735" s="1195"/>
      <c r="E735" s="1194"/>
      <c r="F735" s="1194"/>
      <c r="G735" s="1194"/>
      <c r="H735" s="1194"/>
      <c r="I735" s="1196"/>
      <c r="J735" s="980"/>
      <c r="K735" s="982"/>
      <c r="L735" s="970"/>
      <c r="M735" s="970"/>
      <c r="N735" s="970"/>
      <c r="O735" s="970"/>
      <c r="P735" s="970"/>
      <c r="Q735" s="970"/>
      <c r="R735" s="970"/>
      <c r="S735" s="970"/>
      <c r="T735" s="970"/>
      <c r="U735" s="970"/>
      <c r="V735" s="970"/>
      <c r="W735" s="970"/>
      <c r="X735" s="970"/>
      <c r="Y735" s="970"/>
      <c r="Z735" s="970"/>
      <c r="AA735" s="970"/>
      <c r="AB735" s="970"/>
      <c r="AC735" s="970"/>
      <c r="AD735" s="970"/>
      <c r="AE735" s="970"/>
      <c r="AF735" s="970"/>
      <c r="AG735" s="970"/>
      <c r="AH735" s="970"/>
      <c r="AI735" s="970"/>
      <c r="AJ735" s="970"/>
    </row>
    <row r="736" spans="1:40" s="971" customFormat="1">
      <c r="A736" s="1025" t="s">
        <v>1044</v>
      </c>
      <c r="B736" s="976"/>
      <c r="C736" s="1172"/>
      <c r="D736" s="1173"/>
      <c r="E736" s="1172"/>
      <c r="F736" s="1172"/>
      <c r="G736" s="1172"/>
      <c r="H736" s="1172"/>
      <c r="I736" s="1197"/>
      <c r="J736" s="980"/>
      <c r="K736" s="982"/>
      <c r="L736" s="970"/>
      <c r="M736" s="970"/>
      <c r="N736" s="970"/>
      <c r="O736" s="970"/>
      <c r="P736" s="970"/>
      <c r="Q736" s="970"/>
      <c r="R736" s="970"/>
      <c r="S736" s="970"/>
      <c r="T736" s="970"/>
      <c r="U736" s="970"/>
      <c r="V736" s="970"/>
      <c r="W736" s="970"/>
      <c r="X736" s="970"/>
      <c r="Y736" s="970"/>
      <c r="Z736" s="970"/>
      <c r="AA736" s="970"/>
      <c r="AB736" s="970"/>
      <c r="AC736" s="970"/>
      <c r="AD736" s="970"/>
      <c r="AE736" s="970"/>
      <c r="AF736" s="970"/>
      <c r="AG736" s="970"/>
      <c r="AH736" s="970"/>
      <c r="AI736" s="970"/>
      <c r="AJ736" s="970"/>
    </row>
    <row r="737" spans="1:36" s="971" customFormat="1">
      <c r="A737" s="1025"/>
      <c r="B737" s="976"/>
      <c r="C737" s="1172"/>
      <c r="D737" s="1173"/>
      <c r="E737" s="1173"/>
      <c r="F737" s="1173"/>
      <c r="G737" s="1173"/>
      <c r="H737" s="1173"/>
      <c r="I737" s="1197"/>
      <c r="J737" s="980"/>
      <c r="K737" s="982"/>
      <c r="L737" s="970"/>
      <c r="M737" s="970"/>
      <c r="N737" s="970"/>
      <c r="O737" s="970"/>
      <c r="P737" s="970"/>
      <c r="Q737" s="970"/>
      <c r="R737" s="970"/>
      <c r="S737" s="970"/>
      <c r="T737" s="970"/>
      <c r="U737" s="970"/>
      <c r="V737" s="970"/>
      <c r="W737" s="970"/>
      <c r="X737" s="970"/>
      <c r="Y737" s="970"/>
      <c r="Z737" s="970"/>
      <c r="AA737" s="970"/>
      <c r="AB737" s="970"/>
      <c r="AC737" s="970"/>
      <c r="AD737" s="970"/>
      <c r="AE737" s="970"/>
      <c r="AF737" s="970"/>
      <c r="AG737" s="970"/>
      <c r="AH737" s="970"/>
      <c r="AI737" s="970"/>
      <c r="AJ737" s="970"/>
    </row>
    <row r="738" spans="1:36" s="971" customFormat="1">
      <c r="A738" s="1027" t="s">
        <v>209</v>
      </c>
      <c r="B738" s="976"/>
      <c r="C738" s="1172"/>
      <c r="D738" s="1173"/>
      <c r="E738" s="1173"/>
      <c r="F738" s="1172"/>
      <c r="G738" s="1172"/>
      <c r="H738" s="1172"/>
      <c r="I738" s="1197"/>
      <c r="J738" s="980"/>
      <c r="K738" s="982"/>
      <c r="L738" s="970"/>
      <c r="M738" s="970"/>
      <c r="N738" s="970"/>
      <c r="O738" s="970"/>
      <c r="P738" s="970"/>
      <c r="Q738" s="970"/>
      <c r="R738" s="970"/>
      <c r="S738" s="970"/>
      <c r="T738" s="970"/>
      <c r="U738" s="970"/>
      <c r="V738" s="970"/>
      <c r="W738" s="970"/>
      <c r="X738" s="970"/>
      <c r="Y738" s="970"/>
      <c r="Z738" s="970"/>
      <c r="AA738" s="970"/>
      <c r="AB738" s="970"/>
      <c r="AC738" s="970"/>
      <c r="AD738" s="970"/>
      <c r="AE738" s="970"/>
      <c r="AF738" s="970"/>
      <c r="AG738" s="970"/>
      <c r="AH738" s="970"/>
      <c r="AI738" s="970"/>
      <c r="AJ738" s="970"/>
    </row>
    <row r="739" spans="1:36" s="971" customFormat="1">
      <c r="A739" s="1016" t="s">
        <v>370</v>
      </c>
      <c r="B739" s="976"/>
      <c r="C739" s="986" t="s">
        <v>622</v>
      </c>
      <c r="D739" s="986" t="s">
        <v>622</v>
      </c>
      <c r="E739" s="986" t="s">
        <v>622</v>
      </c>
      <c r="F739" s="986" t="s">
        <v>622</v>
      </c>
      <c r="G739" s="986" t="s">
        <v>622</v>
      </c>
      <c r="H739" s="1173" t="s">
        <v>174</v>
      </c>
      <c r="I739" s="1003" t="s">
        <v>622</v>
      </c>
      <c r="J739" s="980"/>
      <c r="K739" s="982"/>
      <c r="L739" s="970"/>
      <c r="M739" s="970"/>
      <c r="N739" s="970"/>
      <c r="O739" s="970"/>
      <c r="P739" s="970"/>
      <c r="Q739" s="970"/>
      <c r="R739" s="970"/>
      <c r="S739" s="970"/>
      <c r="T739" s="970"/>
      <c r="U739" s="970"/>
      <c r="V739" s="970"/>
      <c r="W739" s="970"/>
      <c r="X739" s="970"/>
      <c r="Y739" s="970"/>
      <c r="Z739" s="970"/>
      <c r="AA739" s="970"/>
      <c r="AB739" s="970"/>
      <c r="AC739" s="970"/>
      <c r="AD739" s="970"/>
      <c r="AE739" s="970"/>
      <c r="AF739" s="970"/>
      <c r="AG739" s="970"/>
      <c r="AH739" s="970"/>
      <c r="AI739" s="970"/>
      <c r="AJ739" s="970"/>
    </row>
    <row r="740" spans="1:36" s="971" customFormat="1">
      <c r="A740" s="999" t="s">
        <v>374</v>
      </c>
      <c r="B740" s="976"/>
      <c r="C740" s="986" t="s">
        <v>622</v>
      </c>
      <c r="D740" s="986" t="s">
        <v>622</v>
      </c>
      <c r="E740" s="986" t="s">
        <v>622</v>
      </c>
      <c r="F740" s="986" t="s">
        <v>622</v>
      </c>
      <c r="G740" s="986" t="s">
        <v>622</v>
      </c>
      <c r="H740" s="1180">
        <v>321998969.60000002</v>
      </c>
      <c r="I740" s="1003" t="s">
        <v>622</v>
      </c>
      <c r="J740" s="980"/>
      <c r="K740" s="982"/>
      <c r="L740" s="970"/>
      <c r="M740" s="970"/>
      <c r="N740" s="970"/>
      <c r="O740" s="970"/>
      <c r="P740" s="970"/>
      <c r="Q740" s="970"/>
      <c r="R740" s="970"/>
      <c r="S740" s="970"/>
      <c r="T740" s="970"/>
      <c r="U740" s="970"/>
      <c r="V740" s="970"/>
      <c r="W740" s="970"/>
      <c r="X740" s="970"/>
      <c r="Y740" s="970"/>
      <c r="Z740" s="970"/>
      <c r="AA740" s="970"/>
      <c r="AB740" s="970"/>
      <c r="AC740" s="970"/>
      <c r="AD740" s="970"/>
      <c r="AE740" s="970"/>
      <c r="AF740" s="970"/>
      <c r="AG740" s="970"/>
      <c r="AH740" s="970"/>
      <c r="AI740" s="970"/>
      <c r="AJ740" s="970"/>
    </row>
    <row r="741" spans="1:36" s="971" customFormat="1">
      <c r="A741" s="999" t="s">
        <v>907</v>
      </c>
      <c r="B741" s="976"/>
      <c r="C741" s="1012" t="s">
        <v>622</v>
      </c>
      <c r="D741" s="1012" t="s">
        <v>622</v>
      </c>
      <c r="E741" s="1012" t="s">
        <v>622</v>
      </c>
      <c r="F741" s="1012" t="s">
        <v>622</v>
      </c>
      <c r="G741" s="1012" t="s">
        <v>622</v>
      </c>
      <c r="H741" s="1180">
        <v>0</v>
      </c>
      <c r="I741" s="1013" t="s">
        <v>622</v>
      </c>
      <c r="J741" s="980"/>
      <c r="K741" s="982"/>
      <c r="L741" s="970"/>
      <c r="M741" s="970"/>
      <c r="N741" s="970"/>
      <c r="O741" s="970"/>
      <c r="P741" s="970"/>
      <c r="Q741" s="970"/>
      <c r="R741" s="970"/>
      <c r="S741" s="970"/>
      <c r="T741" s="970"/>
      <c r="U741" s="970"/>
      <c r="V741" s="970"/>
      <c r="W741" s="970"/>
      <c r="X741" s="970"/>
      <c r="Y741" s="970"/>
      <c r="Z741" s="970"/>
      <c r="AA741" s="970"/>
      <c r="AB741" s="970"/>
      <c r="AC741" s="970"/>
      <c r="AD741" s="970"/>
      <c r="AE741" s="970"/>
      <c r="AF741" s="970"/>
      <c r="AG741" s="970"/>
      <c r="AH741" s="970"/>
      <c r="AI741" s="970"/>
      <c r="AJ741" s="970"/>
    </row>
    <row r="742" spans="1:36" s="971" customFormat="1">
      <c r="A742" s="1016" t="s">
        <v>371</v>
      </c>
      <c r="B742" s="976"/>
      <c r="C742" s="1014" t="s">
        <v>622</v>
      </c>
      <c r="D742" s="1014" t="s">
        <v>622</v>
      </c>
      <c r="E742" s="1014" t="s">
        <v>622</v>
      </c>
      <c r="F742" s="1014" t="s">
        <v>622</v>
      </c>
      <c r="G742" s="1014" t="s">
        <v>622</v>
      </c>
      <c r="H742" s="1187" t="s">
        <v>685</v>
      </c>
      <c r="I742" s="1015" t="s">
        <v>622</v>
      </c>
      <c r="J742" s="980"/>
      <c r="K742" s="982"/>
      <c r="L742" s="970"/>
      <c r="M742" s="970"/>
      <c r="N742" s="970"/>
      <c r="O742" s="970"/>
      <c r="P742" s="970"/>
      <c r="Q742" s="970"/>
      <c r="R742" s="970"/>
      <c r="S742" s="970"/>
      <c r="T742" s="970"/>
      <c r="U742" s="970"/>
      <c r="V742" s="970"/>
      <c r="W742" s="970"/>
      <c r="X742" s="970"/>
      <c r="Y742" s="970"/>
      <c r="Z742" s="970"/>
      <c r="AA742" s="970"/>
      <c r="AB742" s="970"/>
      <c r="AC742" s="970"/>
      <c r="AD742" s="970"/>
      <c r="AE742" s="970"/>
      <c r="AF742" s="970"/>
      <c r="AG742" s="970"/>
      <c r="AH742" s="970"/>
      <c r="AI742" s="970"/>
      <c r="AJ742" s="970"/>
    </row>
    <row r="743" spans="1:36" s="971" customFormat="1">
      <c r="A743" s="1028" t="s">
        <v>687</v>
      </c>
      <c r="B743" s="976"/>
      <c r="C743" s="986" t="s">
        <v>622</v>
      </c>
      <c r="D743" s="986" t="s">
        <v>622</v>
      </c>
      <c r="E743" s="986" t="s">
        <v>622</v>
      </c>
      <c r="F743" s="986" t="s">
        <v>622</v>
      </c>
      <c r="G743" s="986" t="s">
        <v>622</v>
      </c>
      <c r="H743" s="1189">
        <v>1.04E-2</v>
      </c>
      <c r="I743" s="1003" t="s">
        <v>622</v>
      </c>
      <c r="J743" s="980"/>
      <c r="K743" s="982"/>
      <c r="L743" s="970"/>
      <c r="M743" s="970"/>
      <c r="N743" s="970"/>
      <c r="O743" s="970"/>
      <c r="P743" s="970"/>
      <c r="Q743" s="970"/>
      <c r="R743" s="970"/>
      <c r="S743" s="970"/>
      <c r="T743" s="970"/>
      <c r="U743" s="970"/>
      <c r="V743" s="970"/>
      <c r="W743" s="970"/>
      <c r="X743" s="970"/>
      <c r="Y743" s="970"/>
      <c r="Z743" s="970"/>
      <c r="AA743" s="970"/>
      <c r="AB743" s="970"/>
      <c r="AC743" s="970"/>
      <c r="AD743" s="970"/>
      <c r="AE743" s="970"/>
      <c r="AF743" s="970"/>
      <c r="AG743" s="970"/>
      <c r="AH743" s="970"/>
      <c r="AI743" s="970"/>
      <c r="AJ743" s="970"/>
    </row>
    <row r="744" spans="1:36" s="971" customFormat="1">
      <c r="A744" s="999" t="s">
        <v>906</v>
      </c>
      <c r="B744" s="976"/>
      <c r="C744" s="986" t="s">
        <v>622</v>
      </c>
      <c r="D744" s="986" t="s">
        <v>622</v>
      </c>
      <c r="E744" s="986" t="s">
        <v>622</v>
      </c>
      <c r="F744" s="986" t="s">
        <v>622</v>
      </c>
      <c r="G744" s="986" t="s">
        <v>622</v>
      </c>
      <c r="H744" s="1180">
        <v>1268657.9435692609</v>
      </c>
      <c r="I744" s="1003" t="s">
        <v>622</v>
      </c>
      <c r="J744" s="980"/>
      <c r="K744" s="982"/>
      <c r="L744" s="970"/>
      <c r="M744" s="970"/>
      <c r="N744" s="970"/>
      <c r="O744" s="970"/>
      <c r="P744" s="970"/>
      <c r="Q744" s="970"/>
      <c r="R744" s="970"/>
      <c r="S744" s="970"/>
      <c r="T744" s="970"/>
      <c r="U744" s="970"/>
      <c r="V744" s="970"/>
      <c r="W744" s="970"/>
      <c r="X744" s="970"/>
      <c r="Y744" s="970"/>
      <c r="Z744" s="970"/>
      <c r="AA744" s="970"/>
      <c r="AB744" s="970"/>
      <c r="AC744" s="970"/>
      <c r="AD744" s="970"/>
      <c r="AE744" s="970"/>
      <c r="AF744" s="970"/>
      <c r="AG744" s="970"/>
      <c r="AH744" s="970"/>
      <c r="AI744" s="970"/>
      <c r="AJ744" s="970"/>
    </row>
    <row r="745" spans="1:36" s="971" customFormat="1">
      <c r="A745" s="999"/>
      <c r="B745" s="976"/>
      <c r="C745" s="982"/>
      <c r="D745" s="982"/>
      <c r="E745" s="982"/>
      <c r="F745" s="982"/>
      <c r="G745" s="982"/>
      <c r="H745" s="1172"/>
      <c r="I745" s="1000"/>
      <c r="J745" s="980"/>
      <c r="K745" s="982"/>
      <c r="L745" s="970"/>
      <c r="M745" s="970"/>
      <c r="N745" s="970"/>
      <c r="O745" s="970"/>
      <c r="P745" s="970"/>
      <c r="Q745" s="970"/>
      <c r="R745" s="970"/>
      <c r="S745" s="970"/>
      <c r="T745" s="970"/>
      <c r="U745" s="970"/>
      <c r="V745" s="970"/>
      <c r="W745" s="970"/>
      <c r="X745" s="970"/>
      <c r="Y745" s="970"/>
      <c r="Z745" s="970"/>
      <c r="AA745" s="970"/>
      <c r="AB745" s="970"/>
      <c r="AC745" s="970"/>
      <c r="AD745" s="970"/>
      <c r="AE745" s="970"/>
      <c r="AF745" s="970"/>
      <c r="AG745" s="970"/>
      <c r="AH745" s="970"/>
      <c r="AI745" s="970"/>
      <c r="AJ745" s="970"/>
    </row>
    <row r="746" spans="1:36" s="971" customFormat="1">
      <c r="A746" s="1027" t="s">
        <v>1046</v>
      </c>
      <c r="B746" s="976"/>
      <c r="C746" s="986"/>
      <c r="D746" s="986"/>
      <c r="E746" s="986"/>
      <c r="F746" s="986"/>
      <c r="G746" s="986"/>
      <c r="H746" s="1172"/>
      <c r="I746" s="1003"/>
      <c r="J746" s="980"/>
      <c r="K746" s="982"/>
      <c r="L746" s="970"/>
      <c r="M746" s="970"/>
      <c r="N746" s="970"/>
      <c r="O746" s="970"/>
      <c r="P746" s="970"/>
      <c r="Q746" s="970"/>
      <c r="R746" s="970"/>
      <c r="S746" s="970"/>
      <c r="T746" s="970"/>
      <c r="U746" s="970"/>
      <c r="V746" s="970"/>
      <c r="W746" s="970"/>
      <c r="X746" s="970"/>
      <c r="Y746" s="970"/>
      <c r="Z746" s="970"/>
      <c r="AA746" s="970"/>
      <c r="AB746" s="970"/>
      <c r="AC746" s="970"/>
      <c r="AD746" s="970"/>
      <c r="AE746" s="970"/>
      <c r="AF746" s="970"/>
      <c r="AG746" s="970"/>
      <c r="AH746" s="970"/>
      <c r="AI746" s="970"/>
      <c r="AJ746" s="970"/>
    </row>
    <row r="747" spans="1:36" s="971" customFormat="1">
      <c r="A747" s="1016" t="s">
        <v>370</v>
      </c>
      <c r="B747" s="976"/>
      <c r="C747" s="986" t="s">
        <v>622</v>
      </c>
      <c r="D747" s="986" t="s">
        <v>622</v>
      </c>
      <c r="E747" s="986" t="s">
        <v>622</v>
      </c>
      <c r="F747" s="986" t="s">
        <v>622</v>
      </c>
      <c r="G747" s="986" t="s">
        <v>622</v>
      </c>
      <c r="H747" s="1173" t="s">
        <v>174</v>
      </c>
      <c r="I747" s="1003" t="s">
        <v>622</v>
      </c>
      <c r="J747" s="980"/>
      <c r="K747" s="982"/>
      <c r="L747" s="970"/>
      <c r="M747" s="970"/>
      <c r="N747" s="970"/>
      <c r="O747" s="970"/>
      <c r="P747" s="970"/>
      <c r="Q747" s="970"/>
      <c r="R747" s="970"/>
      <c r="S747" s="970"/>
      <c r="T747" s="970"/>
      <c r="U747" s="970"/>
      <c r="V747" s="970"/>
      <c r="W747" s="970"/>
      <c r="X747" s="970"/>
      <c r="Y747" s="970"/>
      <c r="Z747" s="970"/>
      <c r="AA747" s="970"/>
      <c r="AB747" s="970"/>
      <c r="AC747" s="970"/>
      <c r="AD747" s="970"/>
      <c r="AE747" s="970"/>
      <c r="AF747" s="970"/>
      <c r="AG747" s="970"/>
      <c r="AH747" s="970"/>
      <c r="AI747" s="970"/>
      <c r="AJ747" s="970"/>
    </row>
    <row r="748" spans="1:36" s="971" customFormat="1">
      <c r="A748" s="999" t="s">
        <v>375</v>
      </c>
      <c r="B748" s="976"/>
      <c r="C748" s="981" t="s">
        <v>622</v>
      </c>
      <c r="D748" s="981" t="s">
        <v>622</v>
      </c>
      <c r="E748" s="981" t="s">
        <v>622</v>
      </c>
      <c r="F748" s="981" t="s">
        <v>622</v>
      </c>
      <c r="G748" s="981" t="s">
        <v>622</v>
      </c>
      <c r="H748" s="1198">
        <v>500000000</v>
      </c>
      <c r="I748" s="1065" t="s">
        <v>622</v>
      </c>
      <c r="J748" s="980"/>
      <c r="K748" s="982"/>
      <c r="L748" s="970"/>
      <c r="M748" s="970"/>
      <c r="N748" s="970"/>
      <c r="O748" s="970"/>
      <c r="P748" s="970"/>
      <c r="Q748" s="970"/>
      <c r="R748" s="970"/>
      <c r="S748" s="970"/>
      <c r="T748" s="970"/>
      <c r="U748" s="970"/>
      <c r="V748" s="970"/>
      <c r="W748" s="970"/>
      <c r="X748" s="970"/>
      <c r="Y748" s="970"/>
      <c r="Z748" s="970"/>
      <c r="AA748" s="970"/>
      <c r="AB748" s="970"/>
      <c r="AC748" s="970"/>
      <c r="AD748" s="970"/>
      <c r="AE748" s="970"/>
      <c r="AF748" s="970"/>
      <c r="AG748" s="970"/>
      <c r="AH748" s="970"/>
      <c r="AI748" s="970"/>
      <c r="AJ748" s="970"/>
    </row>
    <row r="749" spans="1:36" s="971" customFormat="1">
      <c r="A749" s="1016" t="s">
        <v>373</v>
      </c>
      <c r="B749" s="976"/>
      <c r="C749" s="981" t="s">
        <v>622</v>
      </c>
      <c r="D749" s="981" t="s">
        <v>622</v>
      </c>
      <c r="E749" s="981" t="s">
        <v>622</v>
      </c>
      <c r="F749" s="981" t="s">
        <v>622</v>
      </c>
      <c r="G749" s="981" t="s">
        <v>622</v>
      </c>
      <c r="H749" s="1198">
        <v>0</v>
      </c>
      <c r="I749" s="1065" t="s">
        <v>622</v>
      </c>
      <c r="J749" s="980"/>
      <c r="K749" s="982"/>
      <c r="L749" s="970"/>
      <c r="M749" s="970"/>
      <c r="N749" s="970"/>
      <c r="O749" s="970"/>
      <c r="P749" s="970"/>
      <c r="Q749" s="970"/>
      <c r="R749" s="970"/>
      <c r="S749" s="970"/>
      <c r="T749" s="970"/>
      <c r="U749" s="970"/>
      <c r="V749" s="970"/>
      <c r="W749" s="970"/>
      <c r="X749" s="970"/>
      <c r="Y749" s="970"/>
      <c r="Z749" s="970"/>
      <c r="AA749" s="970"/>
      <c r="AB749" s="970"/>
      <c r="AC749" s="970"/>
      <c r="AD749" s="970"/>
      <c r="AE749" s="970"/>
      <c r="AF749" s="970"/>
      <c r="AG749" s="970"/>
      <c r="AH749" s="970"/>
      <c r="AI749" s="970"/>
      <c r="AJ749" s="970"/>
    </row>
    <row r="750" spans="1:36" s="971" customFormat="1">
      <c r="A750" s="1016" t="s">
        <v>371</v>
      </c>
      <c r="B750" s="976"/>
      <c r="C750" s="981" t="s">
        <v>622</v>
      </c>
      <c r="D750" s="981" t="s">
        <v>622</v>
      </c>
      <c r="E750" s="981" t="s">
        <v>622</v>
      </c>
      <c r="F750" s="981" t="s">
        <v>622</v>
      </c>
      <c r="G750" s="981" t="s">
        <v>622</v>
      </c>
      <c r="H750" s="1199" t="s">
        <v>683</v>
      </c>
      <c r="I750" s="1065" t="s">
        <v>622</v>
      </c>
      <c r="M750" s="970"/>
      <c r="N750" s="970"/>
      <c r="O750" s="970"/>
      <c r="P750" s="970"/>
      <c r="Q750" s="970"/>
      <c r="R750" s="970"/>
      <c r="S750" s="970"/>
      <c r="T750" s="970"/>
      <c r="U750" s="970"/>
      <c r="V750" s="970"/>
      <c r="W750" s="970"/>
      <c r="X750" s="970"/>
      <c r="Y750" s="970"/>
      <c r="Z750" s="970"/>
      <c r="AA750" s="970"/>
      <c r="AB750" s="970"/>
      <c r="AC750" s="970"/>
      <c r="AD750" s="970"/>
      <c r="AE750" s="970"/>
      <c r="AF750" s="970"/>
      <c r="AG750" s="970"/>
      <c r="AH750" s="970"/>
      <c r="AI750" s="970"/>
      <c r="AJ750" s="970"/>
    </row>
    <row r="751" spans="1:36" s="971" customFormat="1">
      <c r="A751" s="999" t="s">
        <v>687</v>
      </c>
      <c r="B751" s="976"/>
      <c r="C751" s="981" t="s">
        <v>622</v>
      </c>
      <c r="D751" s="981" t="s">
        <v>622</v>
      </c>
      <c r="E751" s="981" t="s">
        <v>622</v>
      </c>
      <c r="F751" s="981" t="s">
        <v>622</v>
      </c>
      <c r="G751" s="981" t="s">
        <v>622</v>
      </c>
      <c r="H751" s="1199">
        <v>1.2E-2</v>
      </c>
      <c r="I751" s="1065" t="s">
        <v>622</v>
      </c>
      <c r="M751" s="970"/>
      <c r="N751" s="970"/>
      <c r="O751" s="970"/>
      <c r="P751" s="970"/>
      <c r="Q751" s="970"/>
      <c r="R751" s="970"/>
      <c r="S751" s="970"/>
      <c r="T751" s="970"/>
      <c r="U751" s="970"/>
      <c r="V751" s="970"/>
      <c r="W751" s="970"/>
      <c r="X751" s="970"/>
      <c r="Y751" s="970"/>
      <c r="Z751" s="970"/>
      <c r="AA751" s="970"/>
      <c r="AB751" s="970"/>
      <c r="AC751" s="970"/>
      <c r="AD751" s="970"/>
      <c r="AE751" s="970"/>
      <c r="AF751" s="970"/>
      <c r="AG751" s="970"/>
      <c r="AH751" s="970"/>
      <c r="AI751" s="970"/>
      <c r="AJ751" s="970"/>
    </row>
    <row r="752" spans="1:36" s="971" customFormat="1">
      <c r="A752" s="1016" t="s">
        <v>372</v>
      </c>
      <c r="B752" s="976"/>
      <c r="C752" s="981" t="s">
        <v>622</v>
      </c>
      <c r="D752" s="981" t="s">
        <v>622</v>
      </c>
      <c r="E752" s="981" t="s">
        <v>622</v>
      </c>
      <c r="F752" s="981" t="s">
        <v>622</v>
      </c>
      <c r="G752" s="981" t="s">
        <v>622</v>
      </c>
      <c r="H752" s="1181">
        <v>1931361.1045662803</v>
      </c>
      <c r="I752" s="1065" t="s">
        <v>622</v>
      </c>
      <c r="M752" s="970"/>
      <c r="N752" s="970"/>
      <c r="O752" s="970"/>
      <c r="P752" s="970"/>
      <c r="Q752" s="970"/>
      <c r="R752" s="970"/>
      <c r="S752" s="970"/>
      <c r="T752" s="970"/>
      <c r="U752" s="970"/>
      <c r="V752" s="970"/>
      <c r="W752" s="970"/>
      <c r="X752" s="970"/>
      <c r="Y752" s="970"/>
      <c r="Z752" s="970"/>
      <c r="AA752" s="970"/>
      <c r="AB752" s="970"/>
      <c r="AC752" s="970"/>
      <c r="AD752" s="970"/>
      <c r="AE752" s="970"/>
      <c r="AF752" s="970"/>
      <c r="AG752" s="970"/>
      <c r="AH752" s="970"/>
      <c r="AI752" s="970"/>
      <c r="AJ752" s="970"/>
    </row>
    <row r="753" spans="1:36" s="971" customFormat="1">
      <c r="A753" s="1066"/>
      <c r="B753" s="1031"/>
      <c r="C753" s="1200"/>
      <c r="D753" s="1201"/>
      <c r="E753" s="1200"/>
      <c r="F753" s="1202"/>
      <c r="G753" s="1202"/>
      <c r="H753" s="1202"/>
      <c r="I753" s="1203"/>
      <c r="J753" s="980"/>
      <c r="K753" s="982"/>
      <c r="L753" s="970"/>
      <c r="M753" s="970"/>
      <c r="N753" s="970"/>
      <c r="O753" s="970"/>
      <c r="P753" s="970"/>
      <c r="Q753" s="970"/>
      <c r="R753" s="970"/>
      <c r="S753" s="970"/>
      <c r="T753" s="970"/>
      <c r="U753" s="970"/>
      <c r="V753" s="970"/>
      <c r="W753" s="970"/>
      <c r="X753" s="970"/>
      <c r="Y753" s="970"/>
      <c r="Z753" s="970"/>
      <c r="AA753" s="970"/>
      <c r="AB753" s="970"/>
      <c r="AC753" s="970"/>
      <c r="AD753" s="970"/>
      <c r="AE753" s="970"/>
      <c r="AF753" s="970"/>
      <c r="AG753" s="970"/>
      <c r="AH753" s="970"/>
      <c r="AI753" s="970"/>
      <c r="AJ753" s="970"/>
    </row>
    <row r="754" spans="1:36" s="971" customFormat="1">
      <c r="A754" s="1070"/>
      <c r="B754" s="976"/>
      <c r="C754" s="982"/>
      <c r="D754" s="980"/>
      <c r="E754" s="982"/>
      <c r="F754" s="970"/>
      <c r="G754" s="970"/>
      <c r="H754" s="970"/>
      <c r="I754" s="982"/>
      <c r="J754" s="980"/>
      <c r="K754" s="982"/>
      <c r="L754" s="970"/>
      <c r="M754" s="970"/>
      <c r="N754" s="970"/>
      <c r="O754" s="970"/>
      <c r="P754" s="970"/>
      <c r="Q754" s="970"/>
      <c r="R754" s="970"/>
      <c r="S754" s="970"/>
      <c r="T754" s="970"/>
      <c r="U754" s="970"/>
      <c r="V754" s="970"/>
      <c r="W754" s="970"/>
      <c r="X754" s="970"/>
      <c r="Y754" s="970"/>
      <c r="Z754" s="970"/>
      <c r="AA754" s="970"/>
      <c r="AB754" s="970"/>
      <c r="AC754" s="970"/>
      <c r="AD754" s="970"/>
      <c r="AE754" s="970"/>
      <c r="AF754" s="970"/>
      <c r="AG754" s="970"/>
      <c r="AH754" s="970"/>
      <c r="AI754" s="970"/>
      <c r="AJ754" s="970"/>
    </row>
    <row r="755" spans="1:36">
      <c r="A755" s="90"/>
      <c r="C755" s="626"/>
      <c r="G755" s="595"/>
      <c r="H755" s="35"/>
      <c r="I755" s="35"/>
      <c r="J755" s="35"/>
      <c r="K755" s="35"/>
    </row>
    <row r="756" spans="1:36" ht="45.75" customHeight="1">
      <c r="A756" s="940" t="s">
        <v>1058</v>
      </c>
      <c r="B756" s="935" t="s">
        <v>1028</v>
      </c>
      <c r="C756" s="936" t="s">
        <v>1029</v>
      </c>
      <c r="D756" s="935" t="s">
        <v>751</v>
      </c>
      <c r="E756" s="935" t="s">
        <v>386</v>
      </c>
      <c r="F756" s="937" t="s">
        <v>752</v>
      </c>
      <c r="G756" s="938" t="s">
        <v>965</v>
      </c>
    </row>
    <row r="757" spans="1:36">
      <c r="A757" s="315" t="s">
        <v>709</v>
      </c>
      <c r="B757" s="925">
        <v>5647423199.3403378</v>
      </c>
      <c r="C757" s="919">
        <v>0.86</v>
      </c>
      <c r="D757" s="922">
        <v>1109000000</v>
      </c>
      <c r="E757" s="920">
        <v>0.16914710449312972</v>
      </c>
      <c r="F757" s="925">
        <v>665476954.73000002</v>
      </c>
      <c r="G757" s="923">
        <v>0.10150000000000001</v>
      </c>
    </row>
    <row r="758" spans="1:36">
      <c r="A758" s="315" t="s">
        <v>89</v>
      </c>
      <c r="B758" s="925">
        <v>0</v>
      </c>
      <c r="C758" s="919">
        <v>0</v>
      </c>
      <c r="D758" s="922">
        <v>1109000000</v>
      </c>
      <c r="E758" s="920">
        <v>0.16914710449312972</v>
      </c>
      <c r="F758" s="925">
        <v>468784258.75</v>
      </c>
      <c r="G758" s="923">
        <v>7.1499999999999994E-2</v>
      </c>
    </row>
    <row r="759" spans="1:36">
      <c r="A759" s="315" t="s">
        <v>379</v>
      </c>
      <c r="B759" s="925">
        <v>0</v>
      </c>
      <c r="C759" s="919">
        <v>0</v>
      </c>
      <c r="D759" s="922">
        <v>1109000000</v>
      </c>
      <c r="E759" s="920">
        <v>0.16914710449312972</v>
      </c>
      <c r="F759" s="925">
        <v>298317255.56999999</v>
      </c>
      <c r="G759" s="923">
        <v>4.5499999999999999E-2</v>
      </c>
    </row>
    <row r="760" spans="1:36">
      <c r="A760" s="315" t="s">
        <v>380</v>
      </c>
      <c r="B760" s="925">
        <v>0</v>
      </c>
      <c r="C760" s="919">
        <v>0</v>
      </c>
      <c r="D760" s="922">
        <v>1109000000</v>
      </c>
      <c r="E760" s="920">
        <v>0.16914710449312972</v>
      </c>
      <c r="F760" s="925">
        <v>81955289.989999995</v>
      </c>
      <c r="G760" s="923">
        <v>1.2500000000000001E-2</v>
      </c>
    </row>
    <row r="761" spans="1:36">
      <c r="A761" s="390" t="s">
        <v>364</v>
      </c>
      <c r="B761" s="926">
        <v>909000000</v>
      </c>
      <c r="C761" s="927">
        <v>0.14000000000000001</v>
      </c>
      <c r="D761" s="928">
        <v>0</v>
      </c>
      <c r="E761" s="921">
        <v>0</v>
      </c>
      <c r="F761" s="926"/>
      <c r="G761" s="924"/>
    </row>
    <row r="762" spans="1:36" ht="12" customHeight="1">
      <c r="A762" s="190"/>
      <c r="C762" s="47"/>
      <c r="D762" s="199"/>
    </row>
    <row r="763" spans="1:36">
      <c r="A763" s="178" t="s">
        <v>122</v>
      </c>
      <c r="B763" s="55"/>
      <c r="C763" s="55"/>
      <c r="D763" s="213"/>
      <c r="E763" s="213"/>
      <c r="F763" s="213"/>
    </row>
    <row r="764" spans="1:36">
      <c r="A764" s="194" t="s">
        <v>966</v>
      </c>
      <c r="B764" s="194"/>
      <c r="C764" s="194"/>
      <c r="D764" s="194"/>
      <c r="E764" s="194"/>
      <c r="F764" s="194"/>
    </row>
    <row r="765" spans="1:36">
      <c r="A765" s="194" t="s">
        <v>967</v>
      </c>
      <c r="B765" s="213"/>
      <c r="C765" s="213"/>
      <c r="D765" s="213"/>
      <c r="E765" s="213"/>
      <c r="F765" s="213"/>
    </row>
    <row r="766" spans="1:36">
      <c r="A766" s="178" t="s">
        <v>498</v>
      </c>
      <c r="B766" s="55"/>
      <c r="C766" s="55"/>
      <c r="D766" s="55"/>
    </row>
    <row r="768" spans="1:36">
      <c r="A768" s="178" t="s">
        <v>963</v>
      </c>
    </row>
    <row r="769" spans="1:7">
      <c r="A769" s="178" t="s">
        <v>962</v>
      </c>
    </row>
    <row r="770" spans="1:7">
      <c r="A770" s="178" t="s">
        <v>48</v>
      </c>
    </row>
    <row r="771" spans="1:7" ht="12" customHeight="1">
      <c r="A771" s="178" t="s">
        <v>968</v>
      </c>
    </row>
    <row r="772" spans="1:7">
      <c r="A772" s="178" t="s">
        <v>964</v>
      </c>
    </row>
    <row r="776" spans="1:7" ht="15.75" customHeight="1">
      <c r="A776" s="933" t="s">
        <v>710</v>
      </c>
      <c r="B776" s="934" t="s">
        <v>9</v>
      </c>
      <c r="F776" s="193"/>
    </row>
    <row r="777" spans="1:7" ht="22.5" customHeight="1">
      <c r="A777" s="929" t="s">
        <v>711</v>
      </c>
      <c r="B777" s="930">
        <v>200000000</v>
      </c>
      <c r="D777" s="190"/>
      <c r="F777" s="200"/>
      <c r="G777" s="586"/>
    </row>
    <row r="778" spans="1:7">
      <c r="A778" s="762" t="s">
        <v>712</v>
      </c>
      <c r="B778" s="931">
        <v>200000000</v>
      </c>
      <c r="F778" s="36"/>
      <c r="G778" s="34"/>
    </row>
    <row r="779" spans="1:7">
      <c r="A779" s="762" t="s">
        <v>713</v>
      </c>
      <c r="B779" s="931">
        <v>200000000</v>
      </c>
      <c r="D779" s="185"/>
      <c r="F779" s="36"/>
    </row>
    <row r="780" spans="1:7">
      <c r="A780" s="784" t="s">
        <v>29</v>
      </c>
      <c r="B780" s="932">
        <v>0</v>
      </c>
    </row>
    <row r="781" spans="1:7">
      <c r="A781" s="190"/>
      <c r="B781" s="200"/>
    </row>
    <row r="782" spans="1:7" ht="14.25">
      <c r="A782" s="266"/>
      <c r="C782" s="206"/>
    </row>
    <row r="783" spans="1:7" ht="14.25">
      <c r="A783" s="579"/>
      <c r="B783" s="581"/>
      <c r="C783" s="581"/>
      <c r="D783" s="581"/>
    </row>
    <row r="784" spans="1:7" ht="15.75">
      <c r="A784" s="965" t="s">
        <v>714</v>
      </c>
      <c r="B784" s="1096" t="s">
        <v>1103</v>
      </c>
      <c r="C784" s="1096" t="s">
        <v>1104</v>
      </c>
      <c r="D784" s="1096" t="s">
        <v>1105</v>
      </c>
    </row>
    <row r="785" spans="1:11">
      <c r="A785" s="1097"/>
      <c r="B785" s="1098" t="s">
        <v>9</v>
      </c>
      <c r="C785" s="1098" t="s">
        <v>9</v>
      </c>
      <c r="D785" s="1098" t="s">
        <v>9</v>
      </c>
    </row>
    <row r="786" spans="1:11">
      <c r="A786" s="1162" t="s">
        <v>715</v>
      </c>
      <c r="B786" s="1099">
        <v>7995450.9600000195</v>
      </c>
      <c r="C786" s="1099">
        <v>7995450.5000000196</v>
      </c>
      <c r="D786" s="1099">
        <v>7995450.0300000198</v>
      </c>
    </row>
    <row r="787" spans="1:11" ht="28.5" customHeight="1">
      <c r="A787" s="1161" t="s">
        <v>716</v>
      </c>
      <c r="B787" s="1099">
        <v>0</v>
      </c>
      <c r="C787" s="1099"/>
      <c r="D787" s="1099"/>
    </row>
    <row r="788" spans="1:11">
      <c r="A788" s="1162" t="s">
        <v>641</v>
      </c>
      <c r="B788" s="1099">
        <v>0</v>
      </c>
      <c r="C788" s="1099">
        <v>0</v>
      </c>
      <c r="D788" s="1099">
        <v>0</v>
      </c>
    </row>
    <row r="789" spans="1:11">
      <c r="A789" s="1162" t="s">
        <v>642</v>
      </c>
      <c r="B789" s="1099">
        <v>0.46</v>
      </c>
      <c r="C789" s="1099">
        <v>0.47</v>
      </c>
      <c r="D789" s="1099">
        <v>0</v>
      </c>
    </row>
    <row r="790" spans="1:11">
      <c r="A790" s="1162" t="s">
        <v>643</v>
      </c>
      <c r="B790" s="1099">
        <v>0</v>
      </c>
      <c r="C790" s="1099">
        <v>0</v>
      </c>
      <c r="D790" s="1099">
        <v>0</v>
      </c>
    </row>
    <row r="791" spans="1:11" ht="13.5" thickBot="1">
      <c r="A791" s="1100" t="s">
        <v>644</v>
      </c>
      <c r="B791" s="1315">
        <v>7995450.5000000196</v>
      </c>
      <c r="C791" s="1127">
        <v>7995450.0300000198</v>
      </c>
      <c r="D791" s="1127">
        <v>7995450.0300000198</v>
      </c>
    </row>
    <row r="792" spans="1:11" ht="13.5" thickTop="1">
      <c r="A792" s="189"/>
      <c r="D792" s="88"/>
    </row>
    <row r="793" spans="1:11" ht="13.5" customHeight="1">
      <c r="A793" s="440"/>
      <c r="C793" s="33"/>
      <c r="D793" s="179"/>
      <c r="E793" s="193"/>
      <c r="F793" s="1380"/>
      <c r="G793" s="1381"/>
    </row>
    <row r="794" spans="1:11" ht="19.5" customHeight="1">
      <c r="A794" s="409" t="s">
        <v>377</v>
      </c>
    </row>
    <row r="795" spans="1:11" ht="13.5" customHeight="1">
      <c r="A795" s="409"/>
    </row>
    <row r="796" spans="1:11" ht="18.75" customHeight="1">
      <c r="A796" s="939" t="s">
        <v>315</v>
      </c>
      <c r="B796" s="33"/>
      <c r="C796" s="33"/>
      <c r="D796" s="33"/>
      <c r="E796" s="33"/>
      <c r="K796" s="181"/>
    </row>
    <row r="797" spans="1:11" ht="15.75">
      <c r="A797" s="939"/>
      <c r="B797" s="33"/>
      <c r="C797" s="33"/>
      <c r="D797" s="33"/>
      <c r="E797" s="33"/>
      <c r="K797" s="181"/>
    </row>
    <row r="798" spans="1:11" ht="18" customHeight="1">
      <c r="A798" s="831" t="s">
        <v>915</v>
      </c>
      <c r="B798" s="1400" t="s">
        <v>916</v>
      </c>
      <c r="C798" s="1401"/>
      <c r="D798" s="1401"/>
      <c r="E798" s="1402"/>
      <c r="F798" s="1397" t="s">
        <v>917</v>
      </c>
      <c r="G798" s="1398"/>
      <c r="H798" s="1399"/>
      <c r="I798" s="880" t="s">
        <v>919</v>
      </c>
      <c r="K798" s="181"/>
    </row>
    <row r="799" spans="1:11" ht="14.25" customHeight="1">
      <c r="A799" s="755"/>
      <c r="B799" s="756"/>
      <c r="C799" s="322" t="s">
        <v>959</v>
      </c>
      <c r="D799" s="402" t="s">
        <v>442</v>
      </c>
      <c r="E799" s="758" t="s">
        <v>444</v>
      </c>
      <c r="F799" s="1385" t="s">
        <v>310</v>
      </c>
      <c r="G799" s="1386"/>
      <c r="H799" s="1387"/>
      <c r="I799" s="785"/>
      <c r="K799" s="181"/>
    </row>
    <row r="800" spans="1:11" ht="17.25" customHeight="1">
      <c r="A800" s="557" t="s">
        <v>918</v>
      </c>
      <c r="B800" s="763" t="s">
        <v>800</v>
      </c>
      <c r="C800" s="766" t="s">
        <v>920</v>
      </c>
      <c r="D800" s="765" t="s">
        <v>802</v>
      </c>
      <c r="E800" s="764" t="s">
        <v>625</v>
      </c>
      <c r="F800" s="1388"/>
      <c r="G800" s="1389"/>
      <c r="H800" s="1390"/>
      <c r="I800" s="786" t="s">
        <v>311</v>
      </c>
      <c r="K800" s="181"/>
    </row>
    <row r="801" spans="1:11" ht="22.5" customHeight="1">
      <c r="A801" s="557"/>
      <c r="B801" s="945" t="s">
        <v>623</v>
      </c>
      <c r="C801" s="764" t="s">
        <v>622</v>
      </c>
      <c r="D801" s="765" t="s">
        <v>622</v>
      </c>
      <c r="E801" s="766" t="s">
        <v>624</v>
      </c>
      <c r="F801" s="1388"/>
      <c r="G801" s="1389"/>
      <c r="H801" s="1390"/>
      <c r="I801" s="786"/>
      <c r="K801" s="181"/>
    </row>
    <row r="802" spans="1:11" ht="44.25" customHeight="1">
      <c r="A802" s="557" t="s">
        <v>312</v>
      </c>
      <c r="B802" s="763" t="s">
        <v>921</v>
      </c>
      <c r="C802" s="764" t="s">
        <v>309</v>
      </c>
      <c r="D802" s="765" t="s">
        <v>622</v>
      </c>
      <c r="E802" s="766" t="s">
        <v>531</v>
      </c>
      <c r="F802" s="1388"/>
      <c r="G802" s="1389"/>
      <c r="H802" s="1390"/>
      <c r="I802" s="786" t="s">
        <v>311</v>
      </c>
      <c r="K802" s="181"/>
    </row>
    <row r="803" spans="1:11" ht="15.75" customHeight="1">
      <c r="A803" s="357"/>
      <c r="B803" s="946" t="s">
        <v>623</v>
      </c>
      <c r="C803" s="769" t="s">
        <v>622</v>
      </c>
      <c r="D803" s="770" t="s">
        <v>622</v>
      </c>
      <c r="E803" s="771" t="s">
        <v>308</v>
      </c>
      <c r="F803" s="1388"/>
      <c r="G803" s="1389"/>
      <c r="H803" s="1390"/>
      <c r="I803" s="786"/>
      <c r="K803" s="181"/>
    </row>
    <row r="804" spans="1:11" ht="6" customHeight="1">
      <c r="A804" s="454"/>
      <c r="B804" s="772"/>
      <c r="C804" s="773"/>
      <c r="D804" s="774"/>
      <c r="E804" s="775"/>
      <c r="F804" s="1391"/>
      <c r="G804" s="1392"/>
      <c r="H804" s="1393"/>
      <c r="I804" s="786"/>
      <c r="K804" s="181"/>
    </row>
    <row r="805" spans="1:11" ht="21" customHeight="1">
      <c r="A805" s="757" t="s">
        <v>313</v>
      </c>
      <c r="B805" s="763" t="s">
        <v>800</v>
      </c>
      <c r="C805" s="766" t="s">
        <v>328</v>
      </c>
      <c r="D805" s="765" t="s">
        <v>802</v>
      </c>
      <c r="E805" s="776" t="s">
        <v>625</v>
      </c>
      <c r="F805" s="1391"/>
      <c r="G805" s="1392"/>
      <c r="H805" s="1393"/>
      <c r="I805" s="786" t="s">
        <v>311</v>
      </c>
      <c r="K805" s="181"/>
    </row>
    <row r="806" spans="1:11" ht="18.75" customHeight="1">
      <c r="A806" s="759"/>
      <c r="B806" s="945" t="s">
        <v>623</v>
      </c>
      <c r="C806" s="764" t="s">
        <v>622</v>
      </c>
      <c r="D806" s="765" t="s">
        <v>622</v>
      </c>
      <c r="E806" s="777" t="s">
        <v>624</v>
      </c>
      <c r="F806" s="1391"/>
      <c r="G806" s="1392"/>
      <c r="H806" s="1393"/>
      <c r="I806" s="786"/>
      <c r="K806" s="181"/>
    </row>
    <row r="807" spans="1:11" ht="54.75" customHeight="1">
      <c r="A807" s="759"/>
      <c r="B807" s="763" t="s">
        <v>921</v>
      </c>
      <c r="C807" s="764" t="s">
        <v>314</v>
      </c>
      <c r="D807" s="765" t="s">
        <v>622</v>
      </c>
      <c r="E807" s="777" t="s">
        <v>531</v>
      </c>
      <c r="F807" s="1391"/>
      <c r="G807" s="1392"/>
      <c r="H807" s="1393"/>
      <c r="I807" s="786"/>
      <c r="K807" s="181"/>
    </row>
    <row r="808" spans="1:11" ht="15.75" customHeight="1">
      <c r="A808" s="759"/>
      <c r="B808" s="945" t="s">
        <v>623</v>
      </c>
      <c r="C808" s="764" t="s">
        <v>622</v>
      </c>
      <c r="D808" s="765" t="s">
        <v>622</v>
      </c>
      <c r="E808" s="777" t="s">
        <v>308</v>
      </c>
      <c r="F808" s="1391"/>
      <c r="G808" s="1392"/>
      <c r="H808" s="1393"/>
      <c r="I808" s="786"/>
      <c r="K808" s="181"/>
    </row>
    <row r="809" spans="1:11" ht="7.5" customHeight="1">
      <c r="A809" s="760"/>
      <c r="B809" s="756"/>
      <c r="C809" s="359"/>
      <c r="D809" s="306"/>
      <c r="E809" s="359"/>
      <c r="F809" s="754"/>
      <c r="G809" s="66"/>
      <c r="H809" s="52"/>
      <c r="I809" s="785"/>
      <c r="K809" s="181"/>
    </row>
    <row r="810" spans="1:11" ht="49.5" customHeight="1">
      <c r="A810" s="818" t="s">
        <v>819</v>
      </c>
      <c r="B810" s="763" t="s">
        <v>921</v>
      </c>
      <c r="C810" s="766" t="s">
        <v>622</v>
      </c>
      <c r="D810" s="765" t="s">
        <v>459</v>
      </c>
      <c r="E810" s="766" t="s">
        <v>622</v>
      </c>
      <c r="F810" s="1347" t="s">
        <v>316</v>
      </c>
      <c r="G810" s="1392"/>
      <c r="H810" s="1393"/>
      <c r="I810" s="786" t="s">
        <v>311</v>
      </c>
      <c r="K810" s="181"/>
    </row>
    <row r="811" spans="1:11" ht="42" customHeight="1">
      <c r="A811" s="819"/>
      <c r="B811" s="763" t="s">
        <v>921</v>
      </c>
      <c r="C811" s="764" t="s">
        <v>451</v>
      </c>
      <c r="D811" s="765" t="s">
        <v>7</v>
      </c>
      <c r="E811" s="766" t="s">
        <v>451</v>
      </c>
      <c r="F811" s="1347" t="s">
        <v>352</v>
      </c>
      <c r="G811" s="1392"/>
      <c r="H811" s="1393"/>
      <c r="I811" s="786" t="s">
        <v>311</v>
      </c>
      <c r="K811" s="181"/>
    </row>
    <row r="812" spans="1:11" ht="9.75" customHeight="1">
      <c r="A812" s="820"/>
      <c r="B812" s="821"/>
      <c r="C812" s="780"/>
      <c r="D812" s="822"/>
      <c r="E812" s="780"/>
      <c r="F812" s="823"/>
      <c r="G812" s="824"/>
      <c r="H812" s="46"/>
      <c r="I812" s="787"/>
      <c r="K812" s="181"/>
    </row>
    <row r="813" spans="1:11" ht="28.5" customHeight="1">
      <c r="A813" s="779" t="s">
        <v>317</v>
      </c>
      <c r="B813" s="768" t="s">
        <v>921</v>
      </c>
      <c r="C813" s="771" t="s">
        <v>622</v>
      </c>
      <c r="D813" s="770" t="s">
        <v>459</v>
      </c>
      <c r="E813" s="778" t="s">
        <v>622</v>
      </c>
      <c r="F813" s="1355" t="s">
        <v>318</v>
      </c>
      <c r="G813" s="1379"/>
      <c r="H813" s="1403"/>
      <c r="I813" s="788" t="s">
        <v>319</v>
      </c>
      <c r="K813" s="181"/>
    </row>
    <row r="814" spans="1:11" ht="3.75" customHeight="1">
      <c r="A814" s="781"/>
      <c r="B814" s="772"/>
      <c r="C814" s="782"/>
      <c r="D814" s="774"/>
      <c r="E814" s="775"/>
      <c r="F814" s="44"/>
      <c r="G814" s="805"/>
      <c r="H814" s="806"/>
      <c r="I814" s="789"/>
      <c r="K814" s="181"/>
    </row>
    <row r="815" spans="1:11" ht="90" customHeight="1">
      <c r="A815" s="832" t="s">
        <v>320</v>
      </c>
      <c r="B815" s="1394" t="s">
        <v>321</v>
      </c>
      <c r="C815" s="1395"/>
      <c r="D815" s="1395"/>
      <c r="E815" s="1396"/>
      <c r="F815" s="1355" t="s">
        <v>322</v>
      </c>
      <c r="G815" s="1466"/>
      <c r="H815" s="1467"/>
      <c r="I815" s="788" t="s">
        <v>311</v>
      </c>
      <c r="K815" s="181"/>
    </row>
    <row r="816" spans="1:11" ht="6" customHeight="1">
      <c r="A816" s="833"/>
      <c r="B816" s="783"/>
      <c r="C816" s="745"/>
      <c r="D816" s="745"/>
      <c r="E816" s="807"/>
      <c r="F816" s="745"/>
      <c r="G816" s="805"/>
      <c r="H816" s="805"/>
      <c r="I816" s="790"/>
      <c r="K816" s="181"/>
    </row>
    <row r="817" spans="1:11" ht="88.5" customHeight="1">
      <c r="A817" s="779" t="s">
        <v>323</v>
      </c>
      <c r="B817" s="1355" t="s">
        <v>324</v>
      </c>
      <c r="C817" s="1371"/>
      <c r="D817" s="1371"/>
      <c r="E817" s="1372"/>
      <c r="F817" s="1371" t="s">
        <v>325</v>
      </c>
      <c r="G817" s="1379"/>
      <c r="H817" s="1379"/>
      <c r="I817" s="787" t="s">
        <v>311</v>
      </c>
      <c r="K817" s="181"/>
    </row>
    <row r="818" spans="1:11" ht="9.75" customHeight="1">
      <c r="A818" s="761"/>
      <c r="B818" s="756"/>
      <c r="C818" s="359"/>
      <c r="D818" s="306"/>
      <c r="E818" s="314"/>
      <c r="F818" s="754"/>
      <c r="G818" s="66"/>
      <c r="H818" s="52"/>
      <c r="I818" s="785"/>
      <c r="K818" s="181"/>
    </row>
    <row r="819" spans="1:11" ht="18" customHeight="1">
      <c r="A819" s="762" t="s">
        <v>326</v>
      </c>
      <c r="B819" s="763" t="s">
        <v>329</v>
      </c>
      <c r="C819" s="766" t="s">
        <v>328</v>
      </c>
      <c r="D819" s="765" t="s">
        <v>622</v>
      </c>
      <c r="E819" s="777" t="s">
        <v>622</v>
      </c>
      <c r="F819" s="1347" t="s">
        <v>331</v>
      </c>
      <c r="G819" s="1373"/>
      <c r="H819" s="1374"/>
      <c r="I819" s="321" t="s">
        <v>311</v>
      </c>
      <c r="K819" s="181"/>
    </row>
    <row r="820" spans="1:11" ht="63.75" customHeight="1">
      <c r="A820" s="762"/>
      <c r="B820" s="763" t="s">
        <v>327</v>
      </c>
      <c r="C820" s="764" t="s">
        <v>330</v>
      </c>
      <c r="D820" s="765" t="s">
        <v>7</v>
      </c>
      <c r="E820" s="777" t="s">
        <v>97</v>
      </c>
      <c r="F820" s="1375"/>
      <c r="G820" s="1373"/>
      <c r="H820" s="1374"/>
      <c r="I820" s="321"/>
      <c r="K820" s="181"/>
    </row>
    <row r="821" spans="1:11" ht="18" customHeight="1">
      <c r="A821" s="784"/>
      <c r="B821" s="946" t="s">
        <v>623</v>
      </c>
      <c r="C821" s="769" t="s">
        <v>622</v>
      </c>
      <c r="D821" s="770" t="s">
        <v>622</v>
      </c>
      <c r="E821" s="778" t="s">
        <v>36</v>
      </c>
      <c r="F821" s="1376"/>
      <c r="G821" s="1377"/>
      <c r="H821" s="1378"/>
      <c r="I821" s="791"/>
      <c r="K821" s="181"/>
    </row>
    <row r="822" spans="1:11" ht="9.75" customHeight="1">
      <c r="A822" s="243"/>
      <c r="K822" s="181"/>
    </row>
    <row r="823" spans="1:11" ht="19.5" customHeight="1">
      <c r="A823" s="939" t="s">
        <v>332</v>
      </c>
      <c r="K823" s="181"/>
    </row>
    <row r="824" spans="1:11" ht="15.75">
      <c r="A824" s="939"/>
      <c r="K824" s="181"/>
    </row>
    <row r="825" spans="1:11" ht="22.5" customHeight="1">
      <c r="A825" s="792" t="s">
        <v>333</v>
      </c>
      <c r="B825" s="1405" t="s">
        <v>334</v>
      </c>
      <c r="C825" s="1418"/>
      <c r="D825" s="1405" t="s">
        <v>335</v>
      </c>
      <c r="E825" s="1406"/>
      <c r="F825" s="1406"/>
      <c r="G825" s="1406"/>
      <c r="H825" s="1407"/>
      <c r="I825" s="795" t="s">
        <v>336</v>
      </c>
      <c r="K825" s="181"/>
    </row>
    <row r="826" spans="1:11" ht="18.75" customHeight="1">
      <c r="A826" s="1441" t="s">
        <v>353</v>
      </c>
      <c r="B826" s="1406"/>
      <c r="C826" s="1406"/>
      <c r="D826" s="1406"/>
      <c r="E826" s="1406"/>
      <c r="F826" s="1406"/>
      <c r="G826" s="1406"/>
      <c r="H826" s="1406"/>
      <c r="I826" s="1407"/>
      <c r="K826" s="181"/>
    </row>
    <row r="827" spans="1:11" ht="16.5" customHeight="1">
      <c r="A827" s="1405" t="s">
        <v>337</v>
      </c>
      <c r="B827" s="1439"/>
      <c r="C827" s="1439"/>
      <c r="D827" s="1439"/>
      <c r="E827" s="1439"/>
      <c r="F827" s="1439"/>
      <c r="G827" s="1406"/>
      <c r="H827" s="1406"/>
      <c r="I827" s="1407"/>
      <c r="K827" s="181"/>
    </row>
    <row r="828" spans="1:11" ht="19.5" customHeight="1">
      <c r="A828" s="767" t="s">
        <v>338</v>
      </c>
      <c r="B828" s="1442" t="s">
        <v>341</v>
      </c>
      <c r="C828" s="1443"/>
      <c r="D828" s="1442" t="s">
        <v>486</v>
      </c>
      <c r="E828" s="1401"/>
      <c r="F828" s="1401"/>
      <c r="G828" s="1401"/>
      <c r="H828" s="1402"/>
      <c r="I828" s="877" t="s">
        <v>311</v>
      </c>
      <c r="K828" s="181"/>
    </row>
    <row r="829" spans="1:11" ht="36" customHeight="1">
      <c r="A829" s="793" t="s">
        <v>339</v>
      </c>
      <c r="B829" s="1445" t="s">
        <v>342</v>
      </c>
      <c r="C829" s="1446"/>
      <c r="D829" s="1391"/>
      <c r="E829" s="1392"/>
      <c r="F829" s="1392"/>
      <c r="G829" s="1392"/>
      <c r="H829" s="1393"/>
      <c r="I829" s="786" t="s">
        <v>311</v>
      </c>
      <c r="K829" s="181"/>
    </row>
    <row r="830" spans="1:11" ht="37.5" customHeight="1">
      <c r="A830" s="794" t="s">
        <v>340</v>
      </c>
      <c r="B830" s="1447" t="s">
        <v>608</v>
      </c>
      <c r="C830" s="1448"/>
      <c r="D830" s="1444"/>
      <c r="E830" s="1379"/>
      <c r="F830" s="1379"/>
      <c r="G830" s="1379"/>
      <c r="H830" s="1403"/>
      <c r="I830" s="787" t="s">
        <v>311</v>
      </c>
      <c r="K830" s="181"/>
    </row>
    <row r="831" spans="1:11">
      <c r="A831" s="1405" t="s">
        <v>609</v>
      </c>
      <c r="B831" s="1439"/>
      <c r="C831" s="1439"/>
      <c r="D831" s="1439"/>
      <c r="E831" s="1439"/>
      <c r="F831" s="1439"/>
      <c r="G831" s="1440"/>
      <c r="H831" s="1440"/>
      <c r="I831" s="1418"/>
      <c r="K831" s="181"/>
    </row>
    <row r="832" spans="1:11" ht="93.75" customHeight="1">
      <c r="A832" s="534" t="s">
        <v>610</v>
      </c>
      <c r="B832" s="1414" t="s">
        <v>611</v>
      </c>
      <c r="C832" s="1399"/>
      <c r="D832" s="1413" t="s">
        <v>842</v>
      </c>
      <c r="E832" s="1406" t="s">
        <v>612</v>
      </c>
      <c r="F832" s="1406" t="s">
        <v>612</v>
      </c>
      <c r="G832" s="1406" t="s">
        <v>612</v>
      </c>
      <c r="H832" s="1406" t="s">
        <v>612</v>
      </c>
      <c r="I832" s="796" t="s">
        <v>319</v>
      </c>
      <c r="K832" s="181"/>
    </row>
    <row r="833" spans="1:256">
      <c r="A833" s="43"/>
      <c r="B833" s="40"/>
      <c r="C833" s="40"/>
      <c r="D833" s="884"/>
      <c r="E833" s="884"/>
      <c r="F833" s="884"/>
      <c r="G833" s="884"/>
      <c r="H833" s="884"/>
      <c r="I833" s="892"/>
      <c r="K833" s="181"/>
    </row>
    <row r="834" spans="1:256">
      <c r="A834" s="43"/>
      <c r="B834" s="40"/>
      <c r="C834" s="40"/>
      <c r="D834" s="884"/>
      <c r="E834" s="884"/>
      <c r="F834" s="884"/>
      <c r="G834" s="884"/>
      <c r="H834" s="884"/>
      <c r="I834" s="892"/>
      <c r="K834" s="181"/>
    </row>
    <row r="835" spans="1:256" s="35" customFormat="1">
      <c r="A835" s="898" t="s">
        <v>1047</v>
      </c>
      <c r="B835" s="40"/>
      <c r="C835" s="40"/>
      <c r="D835" s="884"/>
      <c r="E835" s="884"/>
      <c r="F835" s="884"/>
      <c r="G835" s="884"/>
      <c r="H835" s="884"/>
      <c r="I835" s="892"/>
      <c r="K835" s="101"/>
    </row>
    <row r="836" spans="1:256" ht="16.5" customHeight="1">
      <c r="A836" s="792" t="s">
        <v>333</v>
      </c>
      <c r="B836" s="1405" t="s">
        <v>334</v>
      </c>
      <c r="C836" s="1418"/>
      <c r="D836" s="1405" t="s">
        <v>335</v>
      </c>
      <c r="E836" s="1406"/>
      <c r="F836" s="1406"/>
      <c r="G836" s="1406"/>
      <c r="H836" s="1407"/>
      <c r="I836" s="795" t="s">
        <v>336</v>
      </c>
      <c r="K836" s="181"/>
    </row>
    <row r="837" spans="1:256" ht="84.75" customHeight="1">
      <c r="A837" s="893" t="s">
        <v>543</v>
      </c>
      <c r="B837" s="1411" t="s">
        <v>544</v>
      </c>
      <c r="C837" s="1412"/>
      <c r="D837" s="1413" t="s">
        <v>545</v>
      </c>
      <c r="E837" s="1406"/>
      <c r="F837" s="1406"/>
      <c r="G837" s="1406"/>
      <c r="H837" s="1407"/>
      <c r="I837" s="894" t="s">
        <v>311</v>
      </c>
      <c r="K837" s="181"/>
    </row>
    <row r="838" spans="1:256">
      <c r="A838" s="43"/>
      <c r="B838" s="40"/>
      <c r="C838" s="40"/>
      <c r="D838" s="884"/>
      <c r="E838" s="884"/>
      <c r="F838" s="884"/>
      <c r="G838" s="884"/>
      <c r="H838" s="884"/>
      <c r="I838" s="892"/>
      <c r="K838" s="181"/>
    </row>
    <row r="839" spans="1:256">
      <c r="A839" s="43"/>
      <c r="B839" s="40"/>
      <c r="C839" s="40"/>
      <c r="D839" s="884"/>
      <c r="E839" s="884"/>
      <c r="F839" s="884"/>
      <c r="G839" s="884"/>
      <c r="H839" s="884"/>
      <c r="I839" s="892"/>
      <c r="K839" s="181"/>
    </row>
    <row r="840" spans="1:256" s="35" customFormat="1">
      <c r="A840" s="947" t="s">
        <v>286</v>
      </c>
      <c r="B840" s="40"/>
      <c r="C840" s="40"/>
      <c r="D840" s="884"/>
      <c r="E840" s="884"/>
      <c r="F840" s="884"/>
      <c r="G840" s="884"/>
      <c r="H840" s="884"/>
      <c r="I840" s="892"/>
      <c r="K840" s="101"/>
      <c r="AK840" s="33"/>
      <c r="AL840" s="33"/>
      <c r="AM840" s="33"/>
      <c r="AN840" s="33"/>
      <c r="AO840" s="33"/>
      <c r="AP840" s="33"/>
      <c r="AQ840" s="33"/>
      <c r="AR840" s="33"/>
      <c r="AS840" s="33"/>
      <c r="AT840" s="33"/>
      <c r="AU840" s="33"/>
      <c r="AV840" s="33"/>
      <c r="AW840" s="33"/>
      <c r="AX840" s="33"/>
      <c r="AY840" s="33"/>
      <c r="AZ840" s="33"/>
      <c r="BA840" s="33"/>
      <c r="BB840" s="33"/>
      <c r="BC840" s="33"/>
      <c r="BD840" s="33"/>
      <c r="BE840" s="33"/>
      <c r="BF840" s="33"/>
      <c r="BG840" s="33"/>
      <c r="BH840" s="33"/>
      <c r="BI840" s="33"/>
      <c r="BJ840" s="33"/>
      <c r="BK840" s="33"/>
      <c r="BL840" s="33"/>
      <c r="BM840" s="33"/>
      <c r="BN840" s="33"/>
      <c r="BO840" s="33"/>
      <c r="BP840" s="33"/>
      <c r="BQ840" s="33"/>
      <c r="BR840" s="33"/>
      <c r="BS840" s="33"/>
      <c r="BT840" s="33"/>
      <c r="BU840" s="33"/>
      <c r="BV840" s="33"/>
      <c r="BW840" s="33"/>
      <c r="BX840" s="33"/>
      <c r="BY840" s="33"/>
      <c r="BZ840" s="33"/>
      <c r="CA840" s="33"/>
      <c r="CB840" s="33"/>
      <c r="CC840" s="33"/>
      <c r="CD840" s="33"/>
      <c r="CE840" s="33"/>
      <c r="CF840" s="33"/>
      <c r="CG840" s="33"/>
      <c r="CH840" s="33"/>
      <c r="CI840" s="33"/>
      <c r="CJ840" s="33"/>
      <c r="CK840" s="33"/>
      <c r="CL840" s="33"/>
      <c r="CM840" s="33"/>
      <c r="CN840" s="33"/>
      <c r="CO840" s="33"/>
      <c r="CP840" s="33"/>
      <c r="CQ840" s="33"/>
      <c r="CR840" s="33"/>
      <c r="CS840" s="33"/>
      <c r="CT840" s="33"/>
      <c r="CU840" s="33"/>
      <c r="CV840" s="33"/>
      <c r="CW840" s="33"/>
      <c r="CX840" s="33"/>
      <c r="CY840" s="33"/>
      <c r="CZ840" s="33"/>
      <c r="DA840" s="33"/>
      <c r="DB840" s="33"/>
      <c r="DC840" s="33"/>
      <c r="DD840" s="33"/>
      <c r="DE840" s="33"/>
      <c r="DF840" s="33"/>
      <c r="DG840" s="33"/>
      <c r="DH840" s="33"/>
      <c r="DI840" s="33"/>
      <c r="DJ840" s="33"/>
      <c r="DK840" s="33"/>
      <c r="DL840" s="33"/>
      <c r="DM840" s="33"/>
      <c r="DN840" s="33"/>
      <c r="DO840" s="33"/>
      <c r="DP840" s="33"/>
      <c r="DQ840" s="33"/>
      <c r="DR840" s="33"/>
      <c r="DS840" s="33"/>
      <c r="DT840" s="33"/>
      <c r="DU840" s="33"/>
      <c r="DV840" s="33"/>
      <c r="DW840" s="33"/>
      <c r="DX840" s="33"/>
      <c r="DY840" s="33"/>
      <c r="DZ840" s="33"/>
      <c r="EA840" s="33"/>
      <c r="EB840" s="33"/>
      <c r="EC840" s="33"/>
      <c r="ED840" s="33"/>
      <c r="EE840" s="33"/>
      <c r="EF840" s="33"/>
      <c r="EG840" s="33"/>
      <c r="EH840" s="33"/>
      <c r="EI840" s="33"/>
      <c r="EJ840" s="33"/>
      <c r="EK840" s="33"/>
      <c r="EL840" s="33"/>
      <c r="EM840" s="33"/>
      <c r="EN840" s="33"/>
      <c r="EO840" s="33"/>
      <c r="EP840" s="33"/>
      <c r="EQ840" s="33"/>
      <c r="ER840" s="33"/>
      <c r="ES840" s="33"/>
      <c r="ET840" s="33"/>
      <c r="EU840" s="33"/>
      <c r="EV840" s="33"/>
      <c r="EW840" s="33"/>
      <c r="EX840" s="33"/>
      <c r="EY840" s="33"/>
      <c r="EZ840" s="33"/>
      <c r="FA840" s="33"/>
      <c r="FB840" s="33"/>
      <c r="FC840" s="33"/>
      <c r="FD840" s="33"/>
      <c r="FE840" s="33"/>
      <c r="FF840" s="33"/>
      <c r="FG840" s="33"/>
      <c r="FH840" s="33"/>
      <c r="FI840" s="33"/>
      <c r="FJ840" s="33"/>
      <c r="FK840" s="33"/>
      <c r="FL840" s="33"/>
      <c r="FM840" s="33"/>
      <c r="FN840" s="33"/>
      <c r="FO840" s="33"/>
      <c r="FP840" s="33"/>
      <c r="FQ840" s="33"/>
      <c r="FR840" s="33"/>
      <c r="FS840" s="33"/>
      <c r="FT840" s="33"/>
      <c r="FU840" s="33"/>
      <c r="FV840" s="33"/>
      <c r="FW840" s="33"/>
      <c r="FX840" s="33"/>
      <c r="FY840" s="33"/>
      <c r="FZ840" s="33"/>
      <c r="GA840" s="33"/>
      <c r="GB840" s="33"/>
      <c r="GC840" s="33"/>
      <c r="GD840" s="33"/>
      <c r="GE840" s="33"/>
      <c r="GF840" s="33"/>
      <c r="GG840" s="33"/>
      <c r="GH840" s="33"/>
      <c r="GI840" s="33"/>
      <c r="GJ840" s="33"/>
      <c r="GK840" s="33"/>
      <c r="GL840" s="33"/>
      <c r="GM840" s="33"/>
      <c r="GN840" s="33"/>
      <c r="GO840" s="33"/>
      <c r="GP840" s="33"/>
      <c r="GQ840" s="33"/>
      <c r="GR840" s="33"/>
      <c r="GS840" s="33"/>
      <c r="GT840" s="33"/>
      <c r="GU840" s="33"/>
      <c r="GV840" s="33"/>
      <c r="GW840" s="33"/>
      <c r="GX840" s="33"/>
      <c r="GY840" s="33"/>
      <c r="GZ840" s="33"/>
      <c r="HA840" s="33"/>
      <c r="HB840" s="33"/>
      <c r="HC840" s="33"/>
      <c r="HD840" s="33"/>
      <c r="HE840" s="33"/>
      <c r="HF840" s="33"/>
      <c r="HG840" s="33"/>
      <c r="HH840" s="33"/>
      <c r="HI840" s="33"/>
      <c r="HJ840" s="33"/>
      <c r="HK840" s="33"/>
      <c r="HL840" s="33"/>
      <c r="HM840" s="33"/>
      <c r="HN840" s="33"/>
      <c r="HO840" s="33"/>
      <c r="HP840" s="33"/>
      <c r="HQ840" s="33"/>
      <c r="HR840" s="33"/>
      <c r="HS840" s="33"/>
      <c r="HT840" s="33"/>
      <c r="HU840" s="33"/>
      <c r="HV840" s="33"/>
      <c r="HW840" s="33"/>
      <c r="HX840" s="33"/>
      <c r="HY840" s="33"/>
      <c r="HZ840" s="33"/>
      <c r="IA840" s="33"/>
      <c r="IB840" s="33"/>
      <c r="IC840" s="33"/>
      <c r="ID840" s="33"/>
      <c r="IE840" s="33"/>
      <c r="IF840" s="33"/>
      <c r="IG840" s="33"/>
      <c r="IH840" s="33"/>
      <c r="II840" s="33"/>
      <c r="IJ840" s="33"/>
      <c r="IK840" s="33"/>
      <c r="IL840" s="33"/>
      <c r="IM840" s="33"/>
      <c r="IN840" s="33"/>
      <c r="IO840" s="33"/>
      <c r="IP840" s="33"/>
      <c r="IQ840" s="33"/>
      <c r="IR840" s="33"/>
      <c r="IS840" s="33"/>
      <c r="IT840" s="33"/>
      <c r="IU840" s="33"/>
      <c r="IV840" s="33"/>
    </row>
    <row r="841" spans="1:256" ht="16.5" customHeight="1">
      <c r="A841" s="815" t="s">
        <v>302</v>
      </c>
      <c r="B841" s="1415" t="s">
        <v>303</v>
      </c>
      <c r="C841" s="1416"/>
      <c r="D841" s="1417"/>
      <c r="E841" s="1415" t="s">
        <v>304</v>
      </c>
      <c r="F841" s="1406"/>
      <c r="G841" s="1406"/>
      <c r="H841" s="1407"/>
      <c r="I841" s="905" t="s">
        <v>336</v>
      </c>
      <c r="K841" s="181"/>
    </row>
    <row r="842" spans="1:256" ht="70.5" customHeight="1">
      <c r="A842" s="1428" t="s">
        <v>546</v>
      </c>
      <c r="B842" s="1425" t="s">
        <v>737</v>
      </c>
      <c r="C842" s="1426"/>
      <c r="D842" s="1427"/>
      <c r="E842" s="1436" t="s">
        <v>283</v>
      </c>
      <c r="F842" s="1437"/>
      <c r="G842" s="1437"/>
      <c r="H842" s="1438"/>
      <c r="I842" s="1320" t="s">
        <v>311</v>
      </c>
      <c r="J842" s="1232"/>
      <c r="K842" s="1278"/>
    </row>
    <row r="843" spans="1:256" ht="30" customHeight="1">
      <c r="A843" s="1429"/>
      <c r="B843" s="1408" t="s">
        <v>305</v>
      </c>
      <c r="C843" s="1409"/>
      <c r="D843" s="1410"/>
      <c r="E843" s="1419" t="s">
        <v>284</v>
      </c>
      <c r="F843" s="1420"/>
      <c r="G843" s="1420"/>
      <c r="H843" s="1421"/>
      <c r="I843" s="1319"/>
      <c r="J843" s="1232"/>
      <c r="K843" s="1278"/>
    </row>
    <row r="844" spans="1:256" ht="75.75" customHeight="1">
      <c r="A844" s="1430"/>
      <c r="B844" s="1432" t="s">
        <v>365</v>
      </c>
      <c r="C844" s="1433"/>
      <c r="D844" s="1434"/>
      <c r="E844" s="1419" t="s">
        <v>285</v>
      </c>
      <c r="F844" s="1420"/>
      <c r="G844" s="1420"/>
      <c r="H844" s="1421"/>
      <c r="I844" s="1319" t="s">
        <v>311</v>
      </c>
      <c r="J844" s="1232"/>
      <c r="K844" s="1278"/>
    </row>
    <row r="845" spans="1:256" ht="85.5" customHeight="1">
      <c r="A845" s="1431"/>
      <c r="B845" s="1435" t="s">
        <v>738</v>
      </c>
      <c r="C845" s="1433"/>
      <c r="D845" s="1434"/>
      <c r="E845" s="1422" t="s">
        <v>287</v>
      </c>
      <c r="F845" s="1423"/>
      <c r="G845" s="1423"/>
      <c r="H845" s="1424"/>
      <c r="I845" s="1321" t="s">
        <v>311</v>
      </c>
      <c r="J845" s="1232"/>
      <c r="K845" s="181"/>
    </row>
    <row r="846" spans="1:256">
      <c r="A846" s="181"/>
    </row>
    <row r="847" spans="1:256">
      <c r="A847" s="181"/>
    </row>
    <row r="848" spans="1:256" ht="21.75" customHeight="1">
      <c r="A848" s="941" t="s">
        <v>216</v>
      </c>
      <c r="B848" s="183"/>
      <c r="C848" s="218"/>
      <c r="D848" s="183"/>
      <c r="E848" s="218"/>
      <c r="F848" s="35"/>
      <c r="G848" s="35"/>
      <c r="H848" s="35"/>
      <c r="I848" s="35"/>
      <c r="J848" s="35"/>
      <c r="K848" s="35"/>
    </row>
    <row r="849" spans="1:12" ht="112.5" customHeight="1">
      <c r="A849" s="828" t="s">
        <v>83</v>
      </c>
      <c r="B849" s="1455" t="s">
        <v>617</v>
      </c>
      <c r="C849" s="1456"/>
      <c r="D849" s="1456"/>
      <c r="E849" s="1456"/>
      <c r="F849" s="1456"/>
      <c r="G849" s="1456"/>
      <c r="H849" s="1456"/>
      <c r="I849" s="1456"/>
      <c r="J849" s="1401"/>
      <c r="K849" s="1402"/>
    </row>
    <row r="850" spans="1:12" ht="45" customHeight="1">
      <c r="A850" s="827" t="s">
        <v>108</v>
      </c>
      <c r="B850" s="1450" t="s">
        <v>84</v>
      </c>
      <c r="C850" s="1451"/>
      <c r="D850" s="1451"/>
      <c r="E850" s="1451"/>
      <c r="F850" s="1451"/>
      <c r="G850" s="1451"/>
      <c r="H850" s="1451"/>
      <c r="I850" s="1451"/>
      <c r="J850" s="1451"/>
      <c r="K850" s="1452"/>
    </row>
    <row r="851" spans="1:12" ht="45" customHeight="1">
      <c r="A851" s="555" t="s">
        <v>109</v>
      </c>
      <c r="B851" s="1449" t="s">
        <v>1113</v>
      </c>
      <c r="C851" s="1420"/>
      <c r="D851" s="1420"/>
      <c r="E851" s="1420"/>
      <c r="F851" s="1420"/>
      <c r="G851" s="1420"/>
      <c r="H851" s="1420"/>
      <c r="I851" s="1420"/>
      <c r="J851" s="1420"/>
      <c r="K851" s="1421"/>
    </row>
    <row r="852" spans="1:12" ht="42" customHeight="1">
      <c r="A852" s="555" t="s">
        <v>293</v>
      </c>
      <c r="B852" s="1449" t="s">
        <v>1114</v>
      </c>
      <c r="C852" s="1420"/>
      <c r="D852" s="1420"/>
      <c r="E852" s="1420"/>
      <c r="F852" s="1420"/>
      <c r="G852" s="1420"/>
      <c r="H852" s="1420"/>
      <c r="I852" s="1420"/>
      <c r="J852" s="1420"/>
      <c r="K852" s="1421"/>
      <c r="L852" s="878"/>
    </row>
    <row r="853" spans="1:12" ht="48" customHeight="1">
      <c r="A853" s="555" t="s">
        <v>111</v>
      </c>
      <c r="B853" s="1450" t="s">
        <v>110</v>
      </c>
      <c r="C853" s="1451"/>
      <c r="D853" s="1451"/>
      <c r="E853" s="1451"/>
      <c r="F853" s="1451"/>
      <c r="G853" s="1451"/>
      <c r="H853" s="1451"/>
      <c r="I853" s="1451"/>
      <c r="J853" s="1451"/>
      <c r="K853" s="1452"/>
    </row>
    <row r="854" spans="1:12" ht="31.5" customHeight="1">
      <c r="A854" s="827" t="s">
        <v>344</v>
      </c>
      <c r="B854" s="1450" t="s">
        <v>112</v>
      </c>
      <c r="C854" s="1453"/>
      <c r="D854" s="1453"/>
      <c r="E854" s="1453"/>
      <c r="F854" s="1453"/>
      <c r="G854" s="1453"/>
      <c r="H854" s="1453"/>
      <c r="I854" s="1453"/>
      <c r="J854" s="1453"/>
      <c r="K854" s="1454"/>
    </row>
    <row r="855" spans="1:12" ht="51.75" customHeight="1">
      <c r="A855" s="879" t="s">
        <v>113</v>
      </c>
      <c r="B855" s="1371" t="s">
        <v>114</v>
      </c>
      <c r="C855" s="1379"/>
      <c r="D855" s="1379"/>
      <c r="E855" s="1379"/>
      <c r="F855" s="1379"/>
      <c r="G855" s="1379"/>
      <c r="H855" s="1379"/>
      <c r="I855" s="1379"/>
      <c r="J855" s="1379"/>
      <c r="K855" s="1403"/>
    </row>
    <row r="856" spans="1:12">
      <c r="A856" s="190"/>
      <c r="B856" s="183"/>
      <c r="C856" s="218"/>
      <c r="D856" s="183"/>
      <c r="E856" s="218"/>
      <c r="F856" s="35"/>
      <c r="G856" s="35"/>
      <c r="H856" s="35"/>
      <c r="I856" s="35"/>
      <c r="J856" s="35"/>
      <c r="K856" s="35"/>
    </row>
    <row r="857" spans="1:12">
      <c r="A857" s="190"/>
      <c r="B857" s="183"/>
      <c r="C857" s="218"/>
      <c r="D857" s="183"/>
      <c r="E857" s="218"/>
      <c r="F857" s="35"/>
      <c r="G857" s="35"/>
      <c r="H857" s="35"/>
      <c r="I857" s="35"/>
      <c r="J857" s="35"/>
      <c r="K857" s="35"/>
    </row>
    <row r="858" spans="1:12" ht="15.75">
      <c r="A858" s="941" t="s">
        <v>843</v>
      </c>
      <c r="B858" s="183"/>
      <c r="C858" s="218"/>
      <c r="D858" s="183"/>
      <c r="E858" s="218"/>
      <c r="F858" s="35"/>
      <c r="G858" s="35"/>
      <c r="H858" s="35"/>
      <c r="I858" s="35"/>
      <c r="J858" s="35"/>
      <c r="K858" s="35"/>
    </row>
    <row r="859" spans="1:12" ht="14.25" customHeight="1">
      <c r="A859" s="948" t="s">
        <v>298</v>
      </c>
      <c r="B859" s="948" t="s">
        <v>847</v>
      </c>
      <c r="C859" s="84"/>
    </row>
    <row r="860" spans="1:12" ht="15.75" customHeight="1">
      <c r="A860" s="949" t="s">
        <v>297</v>
      </c>
      <c r="B860" s="949" t="s">
        <v>297</v>
      </c>
      <c r="C860" s="84"/>
    </row>
    <row r="861" spans="1:12" ht="13.5" customHeight="1">
      <c r="A861" s="949" t="s">
        <v>300</v>
      </c>
      <c r="B861" s="949" t="s">
        <v>848</v>
      </c>
      <c r="C861" s="84"/>
    </row>
    <row r="862" spans="1:12" ht="14.25" customHeight="1">
      <c r="A862" s="956" t="s">
        <v>299</v>
      </c>
      <c r="B862" s="956" t="s">
        <v>849</v>
      </c>
      <c r="C862" s="84"/>
    </row>
    <row r="863" spans="1:12">
      <c r="A863" s="40"/>
      <c r="B863" s="954"/>
      <c r="C863" s="84"/>
    </row>
    <row r="864" spans="1:12">
      <c r="A864" s="40"/>
      <c r="B864" s="954"/>
      <c r="C864" s="84"/>
    </row>
    <row r="865" spans="1:6" ht="15.75">
      <c r="A865" s="941" t="s">
        <v>301</v>
      </c>
      <c r="B865" s="252"/>
      <c r="C865" s="84"/>
    </row>
    <row r="866" spans="1:6" ht="15" customHeight="1">
      <c r="A866" s="955" t="s">
        <v>845</v>
      </c>
      <c r="B866" s="951" t="s">
        <v>582</v>
      </c>
      <c r="C866" s="314"/>
    </row>
    <row r="867" spans="1:6" ht="6" customHeight="1">
      <c r="A867" s="950"/>
      <c r="B867" s="952"/>
      <c r="C867" s="316"/>
    </row>
    <row r="868" spans="1:6" ht="15" customHeight="1">
      <c r="A868" s="757" t="s">
        <v>844</v>
      </c>
      <c r="B868" s="959" t="s">
        <v>1069</v>
      </c>
      <c r="C868" s="316"/>
    </row>
    <row r="869" spans="1:6" ht="6" customHeight="1">
      <c r="A869" s="757"/>
      <c r="B869" s="953"/>
      <c r="C869" s="316"/>
    </row>
    <row r="870" spans="1:6">
      <c r="A870" s="757" t="s">
        <v>846</v>
      </c>
      <c r="B870" s="959" t="s">
        <v>1069</v>
      </c>
      <c r="C870" s="316"/>
    </row>
    <row r="871" spans="1:6" ht="6.75" customHeight="1">
      <c r="A871" s="757"/>
      <c r="B871" s="953"/>
      <c r="C871" s="316"/>
    </row>
    <row r="872" spans="1:6">
      <c r="A872" s="907" t="s">
        <v>1045</v>
      </c>
      <c r="B872" s="960" t="s">
        <v>1059</v>
      </c>
      <c r="C872" s="317"/>
    </row>
    <row r="873" spans="1:6">
      <c r="F873" s="42"/>
    </row>
  </sheetData>
  <mergeCells count="74">
    <mergeCell ref="E364:F364"/>
    <mergeCell ref="F815:H815"/>
    <mergeCell ref="A350:B350"/>
    <mergeCell ref="B817:E817"/>
    <mergeCell ref="E357:F357"/>
    <mergeCell ref="E361:F361"/>
    <mergeCell ref="E362:F362"/>
    <mergeCell ref="A364:A366"/>
    <mergeCell ref="A367:A369"/>
    <mergeCell ref="E366:F366"/>
    <mergeCell ref="E367:F367"/>
    <mergeCell ref="A525:D525"/>
    <mergeCell ref="F811:H811"/>
    <mergeCell ref="E360:F360"/>
    <mergeCell ref="E363:F363"/>
    <mergeCell ref="A14:D14"/>
    <mergeCell ref="B17:D17"/>
    <mergeCell ref="B19:D19"/>
    <mergeCell ref="E19:G19"/>
    <mergeCell ref="A346:B346"/>
    <mergeCell ref="A361:A363"/>
    <mergeCell ref="B21:D21"/>
    <mergeCell ref="B22:D22"/>
    <mergeCell ref="B23:D23"/>
    <mergeCell ref="E21:G21"/>
    <mergeCell ref="B24:D24"/>
    <mergeCell ref="E358:F358"/>
    <mergeCell ref="E359:F359"/>
    <mergeCell ref="B855:K855"/>
    <mergeCell ref="B852:K852"/>
    <mergeCell ref="B853:K853"/>
    <mergeCell ref="B854:K854"/>
    <mergeCell ref="B849:K849"/>
    <mergeCell ref="B851:K851"/>
    <mergeCell ref="B850:K850"/>
    <mergeCell ref="A831:I831"/>
    <mergeCell ref="A826:I826"/>
    <mergeCell ref="B825:C825"/>
    <mergeCell ref="D825:H825"/>
    <mergeCell ref="A827:I827"/>
    <mergeCell ref="B828:C828"/>
    <mergeCell ref="D828:H830"/>
    <mergeCell ref="B829:C829"/>
    <mergeCell ref="B830:C830"/>
    <mergeCell ref="E844:H844"/>
    <mergeCell ref="E845:H845"/>
    <mergeCell ref="B842:D842"/>
    <mergeCell ref="A842:A845"/>
    <mergeCell ref="B844:D844"/>
    <mergeCell ref="B845:D845"/>
    <mergeCell ref="E842:H842"/>
    <mergeCell ref="E843:H843"/>
    <mergeCell ref="D836:H836"/>
    <mergeCell ref="B843:D843"/>
    <mergeCell ref="B837:C837"/>
    <mergeCell ref="D832:H832"/>
    <mergeCell ref="B832:C832"/>
    <mergeCell ref="D837:H837"/>
    <mergeCell ref="B841:D841"/>
    <mergeCell ref="E841:H841"/>
    <mergeCell ref="B836:C836"/>
    <mergeCell ref="F819:H821"/>
    <mergeCell ref="F817:H817"/>
    <mergeCell ref="F793:G793"/>
    <mergeCell ref="E369:F369"/>
    <mergeCell ref="E365:F365"/>
    <mergeCell ref="F799:H808"/>
    <mergeCell ref="B815:E815"/>
    <mergeCell ref="F798:H798"/>
    <mergeCell ref="B798:E798"/>
    <mergeCell ref="F810:H810"/>
    <mergeCell ref="F813:H813"/>
    <mergeCell ref="E368:F368"/>
    <mergeCell ref="A388:C389"/>
  </mergeCells>
  <phoneticPr fontId="3"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870" r:id="rId1"/>
    <hyperlink ref="B872" r:id="rId2"/>
    <hyperlink ref="B868" r:id="rId3"/>
  </hyperlinks>
  <pageMargins left="0.27559055118110237" right="0.19685039370078741" top="0.27559055118110237" bottom="0.31496062992125984" header="0" footer="0.15748031496062992"/>
  <pageSetup paperSize="9" scale="23" fitToHeight="27" orientation="landscape" r:id="rId4"/>
  <headerFooter alignWithMargins="0">
    <oddFooter>&amp;CPage &amp;P of &amp;N</oddFooter>
  </headerFooter>
  <rowBreaks count="9" manualBreakCount="9">
    <brk id="62" max="16383" man="1"/>
    <brk id="142" max="16383" man="1"/>
    <brk id="209" max="16383" man="1"/>
    <brk id="304" max="16383" man="1"/>
    <brk id="371" max="11" man="1"/>
    <brk id="550" max="11" man="1"/>
    <brk id="703" max="11" man="1"/>
    <brk id="792" max="11" man="1"/>
    <brk id="837" max="11" man="1"/>
  </rowBreaks>
  <ignoredErrors>
    <ignoredError sqref="C658:D658 C708:I708" numberStoredAsText="1"/>
  </ignoredErrors>
</worksheet>
</file>

<file path=xl/worksheets/sheet3.xml><?xml version="1.0" encoding="utf-8"?>
<worksheet xmlns="http://schemas.openxmlformats.org/spreadsheetml/2006/main" xmlns:r="http://schemas.openxmlformats.org/officeDocument/2006/relationships">
  <sheetPr codeName="Sheet16" enableFormatConditionsCalculation="0">
    <tabColor indexed="39"/>
  </sheetPr>
  <dimension ref="A1:AI40"/>
  <sheetViews>
    <sheetView view="pageBreakPreview" topLeftCell="A10" zoomScale="70" zoomScaleNormal="70" zoomScaleSheetLayoutView="70" workbookViewId="0">
      <selection activeCell="F37" sqref="F37"/>
    </sheetView>
  </sheetViews>
  <sheetFormatPr defaultRowHeight="12.75"/>
  <cols>
    <col min="1" max="1" width="63.42578125" style="55" customWidth="1"/>
    <col min="2" max="2" width="27.7109375" style="83" customWidth="1"/>
    <col min="3" max="3" width="25.5703125" style="50" customWidth="1"/>
    <col min="4" max="4" width="26.85546875" style="33" customWidth="1"/>
    <col min="5" max="5" width="30.42578125" style="33" customWidth="1"/>
    <col min="6" max="6" width="41.140625" style="33" customWidth="1"/>
    <col min="7" max="7" width="22.42578125" style="33" customWidth="1"/>
    <col min="8" max="8" width="24.42578125" style="33" customWidth="1"/>
    <col min="9" max="9" width="24.42578125" style="33" bestFit="1" customWidth="1"/>
    <col min="10" max="10" width="4.42578125" style="33" customWidth="1"/>
    <col min="11" max="16" width="18.28515625" style="35" customWidth="1"/>
    <col min="17" max="18" width="10.85546875" style="35" customWidth="1"/>
    <col min="19" max="33" width="9.140625" style="35"/>
    <col min="34" max="16384" width="9.140625" style="33"/>
  </cols>
  <sheetData>
    <row r="1" spans="1:33" ht="15.75">
      <c r="A1" s="499"/>
      <c r="B1" s="500">
        <v>14</v>
      </c>
      <c r="C1" s="500">
        <v>15</v>
      </c>
      <c r="D1" s="500">
        <v>16</v>
      </c>
      <c r="E1" s="501"/>
      <c r="F1" s="501"/>
      <c r="G1" s="501"/>
      <c r="H1" s="502"/>
      <c r="I1" s="244">
        <v>14</v>
      </c>
    </row>
    <row r="2" spans="1:33" ht="15.75">
      <c r="A2" s="415" t="s">
        <v>931</v>
      </c>
      <c r="B2" s="503"/>
      <c r="C2" s="503"/>
      <c r="D2" s="503"/>
      <c r="E2" s="503"/>
      <c r="F2" s="503"/>
      <c r="G2" s="503"/>
      <c r="H2" s="503"/>
      <c r="I2" s="746"/>
      <c r="J2" s="35"/>
    </row>
    <row r="3" spans="1:33" ht="15.75">
      <c r="A3" s="504" t="s">
        <v>639</v>
      </c>
      <c r="B3" s="183"/>
      <c r="C3" s="505"/>
      <c r="D3" s="506"/>
      <c r="E3" s="506"/>
      <c r="F3" s="507"/>
      <c r="G3" s="507"/>
      <c r="H3" s="506"/>
      <c r="I3" s="51"/>
      <c r="J3" s="35"/>
    </row>
    <row r="4" spans="1:33" ht="15.75">
      <c r="A4" s="508"/>
      <c r="B4" s="748" t="s">
        <v>439</v>
      </c>
      <c r="C4" s="748" t="s">
        <v>440</v>
      </c>
      <c r="D4" s="748" t="s">
        <v>441</v>
      </c>
      <c r="E4" s="428"/>
      <c r="F4" s="748"/>
      <c r="G4" s="748"/>
      <c r="H4" s="748"/>
      <c r="I4" s="749"/>
      <c r="J4" s="35"/>
      <c r="AF4" s="33"/>
      <c r="AG4" s="33"/>
    </row>
    <row r="5" spans="1:33" ht="15.75">
      <c r="A5" s="510"/>
      <c r="B5" s="511" t="s">
        <v>764</v>
      </c>
      <c r="C5" s="1117" t="s">
        <v>765</v>
      </c>
      <c r="D5" s="1118" t="s">
        <v>766</v>
      </c>
      <c r="E5" s="511"/>
      <c r="F5" s="511"/>
      <c r="G5" s="511"/>
      <c r="H5" s="511"/>
      <c r="I5" s="512"/>
      <c r="J5" s="35"/>
      <c r="AF5" s="33"/>
      <c r="AG5" s="33"/>
    </row>
    <row r="6" spans="1:33" ht="15.75">
      <c r="A6" s="513" t="s">
        <v>408</v>
      </c>
      <c r="B6" s="1114" t="s">
        <v>489</v>
      </c>
      <c r="C6" s="1115" t="s">
        <v>629</v>
      </c>
      <c r="D6" s="1115" t="s">
        <v>630</v>
      </c>
      <c r="E6" s="514"/>
      <c r="F6" s="431"/>
      <c r="G6" s="431"/>
      <c r="H6" s="431"/>
      <c r="I6" s="747"/>
      <c r="J6" s="35"/>
      <c r="AF6" s="33"/>
      <c r="AG6" s="33"/>
    </row>
    <row r="7" spans="1:33" ht="15.75">
      <c r="A7" s="513" t="s">
        <v>416</v>
      </c>
      <c r="B7" s="1114">
        <v>30299892</v>
      </c>
      <c r="C7" s="1116">
        <v>30299906</v>
      </c>
      <c r="D7" s="1114">
        <v>30299973</v>
      </c>
      <c r="E7" s="514"/>
      <c r="F7" s="514"/>
      <c r="G7" s="514"/>
      <c r="H7" s="514"/>
      <c r="I7" s="515"/>
      <c r="J7" s="35"/>
      <c r="AF7" s="33"/>
      <c r="AG7" s="33"/>
    </row>
    <row r="8" spans="1:33" ht="15.75">
      <c r="A8" s="513"/>
      <c r="B8" s="514"/>
      <c r="C8" s="431"/>
      <c r="D8" s="514"/>
      <c r="E8" s="514"/>
      <c r="F8" s="514"/>
      <c r="G8" s="514"/>
      <c r="H8" s="514"/>
      <c r="I8" s="515"/>
      <c r="J8" s="35"/>
      <c r="AF8" s="33"/>
      <c r="AG8" s="33"/>
    </row>
    <row r="9" spans="1:33" ht="15.75">
      <c r="A9" s="513" t="s">
        <v>675</v>
      </c>
      <c r="B9" s="1150">
        <f>'GMF MONTHLY INVESTOR REPORT'!C609</f>
        <v>2429000000</v>
      </c>
      <c r="C9" s="1154">
        <f>'GMF MONTHLY INVESTOR REPORT'!D609</f>
        <v>1146000000</v>
      </c>
      <c r="D9" s="799">
        <f>'GMF MONTHLY INVESTOR REPORT'!E609</f>
        <v>768500000</v>
      </c>
      <c r="E9" s="536"/>
      <c r="F9" s="517"/>
      <c r="G9" s="516"/>
      <c r="H9" s="536"/>
      <c r="I9" s="520"/>
      <c r="J9" s="35"/>
      <c r="AF9" s="33"/>
      <c r="AG9" s="33"/>
    </row>
    <row r="10" spans="1:33" ht="15.75">
      <c r="A10" s="513" t="s">
        <v>1067</v>
      </c>
      <c r="B10" s="1150" t="e">
        <f>#REF!</f>
        <v>#REF!</v>
      </c>
      <c r="C10" s="1154" t="e">
        <f>#REF!</f>
        <v>#REF!</v>
      </c>
      <c r="D10" s="799" t="e">
        <f>#REF!</f>
        <v>#REF!</v>
      </c>
      <c r="E10" s="536"/>
      <c r="F10" s="517"/>
      <c r="G10" s="516"/>
      <c r="H10" s="536"/>
      <c r="I10" s="520"/>
      <c r="J10" s="35"/>
      <c r="AF10" s="33"/>
      <c r="AG10" s="33"/>
    </row>
    <row r="11" spans="1:33" ht="15.75">
      <c r="A11" s="513" t="s">
        <v>943</v>
      </c>
      <c r="B11" s="1150" t="e">
        <f>#REF!</f>
        <v>#REF!</v>
      </c>
      <c r="C11" s="1154" t="e">
        <f>#REF!</f>
        <v>#REF!</v>
      </c>
      <c r="D11" s="799" t="e">
        <f>#REF!</f>
        <v>#REF!</v>
      </c>
      <c r="E11" s="797"/>
      <c r="F11" s="799"/>
      <c r="G11" s="803"/>
      <c r="H11" s="797"/>
      <c r="I11" s="800"/>
      <c r="J11" s="35"/>
      <c r="AF11" s="33"/>
      <c r="AG11" s="33"/>
    </row>
    <row r="12" spans="1:33" ht="15.75">
      <c r="A12" s="513" t="s">
        <v>944</v>
      </c>
      <c r="B12" s="1152" t="e">
        <f>#REF!</f>
        <v>#REF!</v>
      </c>
      <c r="C12" s="798" t="e">
        <f>#REF!</f>
        <v>#REF!</v>
      </c>
      <c r="D12" s="802" t="e">
        <f>#REF!</f>
        <v>#REF!</v>
      </c>
      <c r="E12" s="1119"/>
      <c r="F12" s="1120"/>
      <c r="G12" s="1121"/>
      <c r="H12" s="1119"/>
      <c r="I12" s="1122"/>
      <c r="J12" s="35"/>
      <c r="AF12" s="33"/>
      <c r="AG12" s="33"/>
    </row>
    <row r="13" spans="1:33" ht="15.75">
      <c r="A13" s="1144" t="s">
        <v>1072</v>
      </c>
      <c r="B13" s="1151" t="e">
        <f>B11+B12</f>
        <v>#REF!</v>
      </c>
      <c r="C13" s="1147" t="e">
        <f>C11+C12</f>
        <v>#REF!</v>
      </c>
      <c r="D13" s="1149" t="e">
        <f>D11+D12</f>
        <v>#REF!</v>
      </c>
      <c r="E13" s="1157"/>
      <c r="F13" s="1159"/>
      <c r="G13" s="1157"/>
      <c r="H13" s="1157"/>
      <c r="I13" s="1158"/>
      <c r="J13" s="35"/>
      <c r="AF13" s="33"/>
      <c r="AG13" s="33"/>
    </row>
    <row r="14" spans="1:33" ht="16.5" thickBot="1">
      <c r="A14" s="513" t="s">
        <v>1066</v>
      </c>
      <c r="B14" s="1146" t="e">
        <f>B10-B11-B12</f>
        <v>#REF!</v>
      </c>
      <c r="C14" s="1146" t="e">
        <f>C10-C11-C12</f>
        <v>#REF!</v>
      </c>
      <c r="D14" s="1146" t="e">
        <f>D10-D11-D12</f>
        <v>#REF!</v>
      </c>
      <c r="E14" s="1119"/>
      <c r="F14" s="1120"/>
      <c r="G14" s="1121"/>
      <c r="H14" s="1119"/>
      <c r="I14" s="1122"/>
      <c r="J14" s="35"/>
      <c r="AF14" s="33"/>
      <c r="AG14" s="33"/>
    </row>
    <row r="15" spans="1:33" ht="16.5" thickTop="1">
      <c r="A15" s="513"/>
      <c r="B15" s="518"/>
      <c r="C15" s="518"/>
      <c r="D15" s="518"/>
      <c r="E15" s="1123"/>
      <c r="F15" s="1160"/>
      <c r="G15" s="1123"/>
      <c r="H15" s="1123"/>
      <c r="I15" s="1124"/>
      <c r="J15" s="35"/>
      <c r="AF15" s="33"/>
      <c r="AG15" s="33"/>
    </row>
    <row r="16" spans="1:33" ht="15.75">
      <c r="A16" s="513" t="s">
        <v>100</v>
      </c>
      <c r="B16" s="799">
        <v>1222692036.645525</v>
      </c>
      <c r="C16" s="799">
        <v>777792860.05158138</v>
      </c>
      <c r="D16" s="799">
        <v>768500000</v>
      </c>
      <c r="E16" s="1125"/>
      <c r="F16" s="1125"/>
      <c r="G16" s="1125"/>
      <c r="H16" s="1125"/>
      <c r="I16" s="1126"/>
      <c r="J16" s="35"/>
      <c r="AF16" s="33"/>
      <c r="AG16" s="33"/>
    </row>
    <row r="17" spans="1:35" ht="15.75">
      <c r="A17" s="513" t="s">
        <v>1068</v>
      </c>
      <c r="B17" s="799" t="e">
        <f>#REF!</f>
        <v>#REF!</v>
      </c>
      <c r="C17" s="799" t="e">
        <f>#REF!</f>
        <v>#REF!</v>
      </c>
      <c r="D17" s="799" t="e">
        <f>#REF!</f>
        <v>#REF!</v>
      </c>
      <c r="E17" s="518"/>
      <c r="F17" s="518"/>
      <c r="G17" s="518"/>
      <c r="H17" s="518"/>
      <c r="I17" s="519"/>
      <c r="J17" s="35"/>
      <c r="AF17" s="33"/>
      <c r="AG17" s="33"/>
    </row>
    <row r="18" spans="1:35" ht="15.75">
      <c r="A18" s="513" t="s">
        <v>101</v>
      </c>
      <c r="B18" s="799" t="e">
        <f>#REF!</f>
        <v>#REF!</v>
      </c>
      <c r="C18" s="799" t="e">
        <f>#REF!</f>
        <v>#REF!</v>
      </c>
      <c r="D18" s="799" t="e">
        <f>#REF!</f>
        <v>#REF!</v>
      </c>
      <c r="E18" s="1120"/>
      <c r="F18" s="1120"/>
      <c r="G18" s="1120"/>
      <c r="H18" s="1120"/>
      <c r="I18" s="1122"/>
      <c r="J18" s="35"/>
      <c r="AF18" s="33"/>
      <c r="AG18" s="33"/>
    </row>
    <row r="19" spans="1:35" ht="15.75">
      <c r="A19" s="513" t="s">
        <v>102</v>
      </c>
      <c r="B19" s="1153" t="e">
        <f>#REF!</f>
        <v>#REF!</v>
      </c>
      <c r="C19" s="801" t="e">
        <f>#REF!</f>
        <v>#REF!</v>
      </c>
      <c r="D19" s="802" t="e">
        <f>#REF!</f>
        <v>#REF!</v>
      </c>
      <c r="E19" s="1120"/>
      <c r="F19" s="1120"/>
      <c r="G19" s="1120"/>
      <c r="H19" s="1120"/>
      <c r="I19" s="1122"/>
      <c r="J19" s="35"/>
      <c r="AF19" s="33"/>
      <c r="AG19" s="33"/>
    </row>
    <row r="20" spans="1:35" ht="16.5" thickBot="1">
      <c r="A20" s="513" t="s">
        <v>1066</v>
      </c>
      <c r="B20" s="1145" t="e">
        <f>B17-B18-B19</f>
        <v>#REF!</v>
      </c>
      <c r="C20" s="1145" t="e">
        <f>C17-C18-C19</f>
        <v>#REF!</v>
      </c>
      <c r="D20" s="1145" t="e">
        <f>D17-D18-D19</f>
        <v>#REF!</v>
      </c>
      <c r="E20" s="1120"/>
      <c r="F20" s="1120"/>
      <c r="G20" s="1120"/>
      <c r="H20" s="1120"/>
      <c r="I20" s="1122"/>
      <c r="J20" s="35"/>
      <c r="AF20" s="33"/>
      <c r="AG20" s="33"/>
    </row>
    <row r="21" spans="1:35" ht="16.5" thickTop="1">
      <c r="A21" s="513"/>
      <c r="B21" s="1120"/>
      <c r="C21" s="1120"/>
      <c r="D21" s="1120"/>
      <c r="E21" s="1120"/>
      <c r="F21" s="1120"/>
      <c r="G21" s="1120"/>
      <c r="H21" s="1120"/>
      <c r="I21" s="1122"/>
      <c r="J21" s="35"/>
      <c r="AF21" s="33"/>
      <c r="AG21" s="33"/>
    </row>
    <row r="22" spans="1:35" ht="15.75">
      <c r="A22" s="513" t="s">
        <v>757</v>
      </c>
      <c r="B22" s="514" t="str">
        <f>'GMF MONTHLY INVESTOR REPORT'!C620</f>
        <v>Aaa/AAA/AAA</v>
      </c>
      <c r="C22" s="514" t="str">
        <f>'GMF MONTHLY INVESTOR REPORT'!D620</f>
        <v>Aaa/AAA/AAA</v>
      </c>
      <c r="D22" s="514" t="str">
        <f>'GMF MONTHLY INVESTOR REPORT'!E620</f>
        <v>Aaa/AAA/AAA</v>
      </c>
      <c r="E22" s="514"/>
      <c r="F22" s="514"/>
      <c r="G22" s="514"/>
      <c r="H22" s="514"/>
      <c r="I22" s="515"/>
      <c r="J22" s="35"/>
      <c r="AF22" s="33"/>
      <c r="AG22" s="33"/>
    </row>
    <row r="23" spans="1:35" ht="15.75">
      <c r="A23" s="513" t="s">
        <v>682</v>
      </c>
      <c r="B23" s="521" t="str">
        <f>'GMF MONTHLY INVESTOR REPORT'!C621</f>
        <v>3 month USD Libor</v>
      </c>
      <c r="C23" s="521" t="str">
        <f>'GMF MONTHLY INVESTOR REPORT'!D621</f>
        <v>3 month Euribor</v>
      </c>
      <c r="D23" s="521" t="str">
        <f>'GMF MONTHLY INVESTOR REPORT'!E621</f>
        <v>3 month Sterling Libor</v>
      </c>
      <c r="E23" s="521"/>
      <c r="F23" s="521"/>
      <c r="G23" s="521"/>
      <c r="H23" s="521"/>
      <c r="I23" s="522"/>
      <c r="J23" s="35"/>
      <c r="AF23" s="33"/>
      <c r="AG23" s="33"/>
    </row>
    <row r="24" spans="1:35" ht="15.75">
      <c r="A24" s="513" t="s">
        <v>690</v>
      </c>
      <c r="B24" s="523">
        <f>'GMF MONTHLY INVESTOR REPORT'!C629</f>
        <v>41049</v>
      </c>
      <c r="C24" s="523">
        <f>'GMF MONTHLY INVESTOR REPORT'!D629</f>
        <v>41049</v>
      </c>
      <c r="D24" s="523">
        <f>'GMF MONTHLY INVESTOR REPORT'!E629</f>
        <v>41049</v>
      </c>
      <c r="E24" s="523"/>
      <c r="F24" s="523"/>
      <c r="G24" s="523"/>
      <c r="H24" s="523"/>
      <c r="I24" s="524"/>
      <c r="J24" s="97"/>
      <c r="K24" s="97"/>
      <c r="L24" s="97"/>
      <c r="M24" s="97"/>
      <c r="N24" s="97"/>
      <c r="O24" s="97"/>
      <c r="P24" s="97"/>
      <c r="Q24" s="97"/>
      <c r="R24" s="97"/>
      <c r="S24" s="97"/>
      <c r="T24" s="97"/>
      <c r="U24" s="97"/>
      <c r="V24" s="97"/>
      <c r="W24" s="97"/>
      <c r="X24" s="97"/>
      <c r="Y24" s="97"/>
      <c r="Z24" s="97"/>
      <c r="AA24" s="97"/>
      <c r="AB24" s="97"/>
      <c r="AC24" s="97"/>
      <c r="AD24" s="97"/>
      <c r="AE24" s="97"/>
      <c r="AF24" s="96"/>
      <c r="AG24" s="96"/>
      <c r="AH24" s="96"/>
      <c r="AI24" s="96"/>
    </row>
    <row r="25" spans="1:35" ht="15.75">
      <c r="A25" s="513" t="s">
        <v>691</v>
      </c>
      <c r="B25" s="509">
        <f>'GMF MONTHLY INVESTOR REPORT'!C630</f>
        <v>41049</v>
      </c>
      <c r="C25" s="509">
        <f>'GMF MONTHLY INVESTOR REPORT'!D630</f>
        <v>41049</v>
      </c>
      <c r="D25" s="509">
        <f>'GMF MONTHLY INVESTOR REPORT'!E630</f>
        <v>41049</v>
      </c>
      <c r="E25" s="509"/>
      <c r="F25" s="509"/>
      <c r="G25" s="509"/>
      <c r="H25" s="509"/>
      <c r="I25" s="525"/>
      <c r="J25" s="98"/>
      <c r="K25" s="98"/>
      <c r="L25" s="98"/>
      <c r="M25" s="98"/>
      <c r="N25" s="98"/>
      <c r="O25" s="98"/>
      <c r="P25" s="98"/>
      <c r="Q25" s="98"/>
      <c r="R25" s="98"/>
      <c r="S25" s="98"/>
      <c r="T25" s="98"/>
      <c r="U25" s="98"/>
      <c r="V25" s="98"/>
      <c r="W25" s="98"/>
      <c r="X25" s="98"/>
      <c r="Y25" s="98"/>
      <c r="Z25" s="98"/>
      <c r="AA25" s="98"/>
      <c r="AB25" s="98"/>
      <c r="AC25" s="98"/>
      <c r="AD25" s="98"/>
      <c r="AE25" s="98"/>
      <c r="AF25" s="96"/>
      <c r="AG25" s="96"/>
      <c r="AH25" s="96"/>
      <c r="AI25" s="96"/>
    </row>
    <row r="26" spans="1:35" ht="15.75">
      <c r="A26" s="513" t="s">
        <v>692</v>
      </c>
      <c r="B26" s="509">
        <f>'GMF MONTHLY INVESTOR REPORT'!C631</f>
        <v>57304</v>
      </c>
      <c r="C26" s="509">
        <f>'GMF MONTHLY INVESTOR REPORT'!D631</f>
        <v>57304</v>
      </c>
      <c r="D26" s="509">
        <f>'GMF MONTHLY INVESTOR REPORT'!E631</f>
        <v>57304</v>
      </c>
      <c r="E26" s="509"/>
      <c r="F26" s="509"/>
      <c r="G26" s="509"/>
      <c r="H26" s="509"/>
      <c r="I26" s="525"/>
      <c r="J26" s="35"/>
      <c r="AF26" s="33"/>
      <c r="AG26" s="33"/>
    </row>
    <row r="27" spans="1:35" ht="15.75">
      <c r="A27" s="433"/>
      <c r="B27" s="526"/>
      <c r="C27" s="526"/>
      <c r="D27" s="527"/>
      <c r="E27" s="527"/>
      <c r="F27" s="526"/>
      <c r="G27" s="526"/>
      <c r="H27" s="526"/>
      <c r="I27" s="53"/>
      <c r="J27" s="35"/>
      <c r="AF27" s="33"/>
      <c r="AG27" s="33"/>
    </row>
    <row r="28" spans="1:35" ht="15.75">
      <c r="A28" s="528"/>
      <c r="B28" s="529"/>
      <c r="C28" s="502"/>
      <c r="D28" s="530"/>
      <c r="E28" s="530"/>
      <c r="F28" s="502"/>
      <c r="G28" s="502"/>
      <c r="H28" s="502"/>
      <c r="I28" s="35"/>
      <c r="J28" s="35"/>
      <c r="AF28" s="33"/>
      <c r="AG28" s="33"/>
    </row>
    <row r="30" spans="1:35">
      <c r="A30" s="91" t="s">
        <v>1071</v>
      </c>
      <c r="B30" s="538" t="s">
        <v>103</v>
      </c>
      <c r="C30" s="539" t="s">
        <v>104</v>
      </c>
      <c r="D30" s="32" t="s">
        <v>105</v>
      </c>
      <c r="E30" s="32" t="s">
        <v>106</v>
      </c>
      <c r="F30" s="32" t="s">
        <v>105</v>
      </c>
    </row>
    <row r="32" spans="1:35" ht="93.75" customHeight="1">
      <c r="A32" s="42" t="s">
        <v>107</v>
      </c>
      <c r="B32" s="531" t="e">
        <f>D12</f>
        <v>#REF!</v>
      </c>
      <c r="C32" s="532" t="s">
        <v>388</v>
      </c>
      <c r="D32" s="533" t="s">
        <v>511</v>
      </c>
      <c r="E32" s="534" t="s">
        <v>499</v>
      </c>
      <c r="F32" s="535" t="s">
        <v>914</v>
      </c>
      <c r="G32" s="34"/>
      <c r="H32" s="34"/>
    </row>
    <row r="33" spans="1:8">
      <c r="G33" s="34"/>
    </row>
    <row r="34" spans="1:8">
      <c r="G34" s="34"/>
    </row>
    <row r="35" spans="1:8" ht="76.5">
      <c r="A35" s="55" t="s">
        <v>38</v>
      </c>
      <c r="B35" s="1156" t="e">
        <f>C19+B19</f>
        <v>#REF!</v>
      </c>
      <c r="C35" s="532" t="s">
        <v>388</v>
      </c>
      <c r="D35" s="533" t="s">
        <v>511</v>
      </c>
      <c r="E35" s="534" t="s">
        <v>1051</v>
      </c>
      <c r="F35" s="535" t="s">
        <v>955</v>
      </c>
      <c r="G35" s="34"/>
      <c r="H35" s="34"/>
    </row>
    <row r="36" spans="1:8">
      <c r="G36" s="34"/>
    </row>
    <row r="37" spans="1:8" ht="76.5">
      <c r="A37" s="55" t="s">
        <v>217</v>
      </c>
      <c r="B37" s="1155" t="e">
        <f>B12</f>
        <v>#REF!</v>
      </c>
      <c r="C37" s="534" t="s">
        <v>1051</v>
      </c>
      <c r="D37" s="535" t="s">
        <v>955</v>
      </c>
      <c r="E37" s="452" t="s">
        <v>499</v>
      </c>
      <c r="F37" s="540" t="s">
        <v>621</v>
      </c>
      <c r="G37" s="34"/>
      <c r="H37" s="34"/>
    </row>
    <row r="38" spans="1:8">
      <c r="G38" s="34"/>
    </row>
    <row r="39" spans="1:8">
      <c r="G39" s="34"/>
    </row>
    <row r="40" spans="1:8" ht="76.5">
      <c r="A40" s="55" t="s">
        <v>218</v>
      </c>
      <c r="B40" s="537" t="e">
        <f>C12</f>
        <v>#REF!</v>
      </c>
      <c r="C40" s="534" t="s">
        <v>1051</v>
      </c>
      <c r="D40" s="535" t="s">
        <v>955</v>
      </c>
      <c r="E40" s="452" t="s">
        <v>499</v>
      </c>
      <c r="F40" s="540" t="s">
        <v>219</v>
      </c>
      <c r="G40" s="34"/>
      <c r="H40" s="34"/>
    </row>
  </sheetData>
  <phoneticPr fontId="3" type="noConversion"/>
  <pageMargins left="0.66" right="0.15748031496062992" top="0.47244094488188981" bottom="0.11811023622047245" header="0" footer="0.17"/>
  <pageSetup paperSize="9" scale="47" fitToHeight="27" orientation="landscape" r:id="rId1"/>
  <headerFooter alignWithMargins="0">
    <oddFooter>&amp;CPage &amp;P of &amp;N</oddFooter>
  </headerFooter>
</worksheet>
</file>

<file path=xl/worksheets/sheet4.xml><?xml version="1.0" encoding="utf-8"?>
<worksheet xmlns="http://schemas.openxmlformats.org/spreadsheetml/2006/main" xmlns:r="http://schemas.openxmlformats.org/officeDocument/2006/relationships">
  <sheetPr codeName="Sheet18" enableFormatConditionsCalculation="0">
    <tabColor indexed="43"/>
  </sheetPr>
  <dimension ref="A1:AV178"/>
  <sheetViews>
    <sheetView zoomScale="70" workbookViewId="0">
      <selection activeCell="Y56" sqref="A55:Y56"/>
    </sheetView>
  </sheetViews>
  <sheetFormatPr defaultRowHeight="12.75"/>
  <cols>
    <col min="1" max="1" width="39.28515625" style="57" bestFit="1" customWidth="1"/>
    <col min="2" max="2" width="16.28515625" style="57" customWidth="1"/>
    <col min="3" max="3" width="16.5703125" style="57" bestFit="1" customWidth="1"/>
    <col min="4" max="5" width="16.5703125" style="57" customWidth="1"/>
    <col min="6" max="6" width="16.5703125" style="57" bestFit="1" customWidth="1"/>
    <col min="7" max="7" width="17.85546875" style="57" bestFit="1" customWidth="1"/>
    <col min="8" max="8" width="29" style="57" customWidth="1"/>
    <col min="9" max="9" width="18.85546875" style="57" bestFit="1" customWidth="1"/>
    <col min="10" max="10" width="11.42578125" style="57" bestFit="1" customWidth="1"/>
    <col min="11" max="11" width="12.5703125" style="57" bestFit="1" customWidth="1"/>
    <col min="12" max="14" width="10.5703125" style="57" bestFit="1" customWidth="1"/>
    <col min="15" max="15" width="17.28515625" style="57" bestFit="1" customWidth="1"/>
    <col min="16" max="16" width="9.140625" style="57"/>
    <col min="17" max="17" width="22" style="57" bestFit="1" customWidth="1"/>
    <col min="18" max="18" width="9.140625" style="57"/>
    <col min="19" max="20" width="15" style="57" bestFit="1" customWidth="1"/>
    <col min="21" max="22" width="12.5703125" style="57" bestFit="1" customWidth="1"/>
    <col min="23" max="25" width="9.140625" style="57"/>
    <col min="26" max="26" width="44.140625" style="57" customWidth="1"/>
    <col min="27" max="27" width="16.85546875" style="57" bestFit="1" customWidth="1"/>
    <col min="28" max="28" width="15.28515625" style="57" bestFit="1" customWidth="1"/>
    <col min="29" max="29" width="15.140625" style="57" bestFit="1" customWidth="1"/>
    <col min="30" max="30" width="16.85546875" style="57" bestFit="1" customWidth="1"/>
    <col min="31" max="31" width="15.28515625" style="57" bestFit="1" customWidth="1"/>
    <col min="32" max="33" width="16.85546875" style="57" bestFit="1" customWidth="1"/>
    <col min="34" max="43" width="14.42578125" style="57" customWidth="1"/>
    <col min="44" max="16384" width="9.140625" style="57"/>
  </cols>
  <sheetData>
    <row r="1" spans="1:7">
      <c r="A1" s="165" t="s">
        <v>425</v>
      </c>
      <c r="B1" s="165"/>
      <c r="C1" s="463" t="s">
        <v>431</v>
      </c>
      <c r="D1" s="463" t="s">
        <v>421</v>
      </c>
      <c r="E1" s="463" t="s">
        <v>422</v>
      </c>
      <c r="F1" s="463" t="s">
        <v>423</v>
      </c>
    </row>
    <row r="2" spans="1:7">
      <c r="A2" s="165" t="s">
        <v>838</v>
      </c>
      <c r="B2" s="165" t="s">
        <v>978</v>
      </c>
      <c r="C2" s="165" t="s">
        <v>679</v>
      </c>
      <c r="D2" s="165" t="s">
        <v>679</v>
      </c>
      <c r="E2" s="165" t="s">
        <v>679</v>
      </c>
      <c r="F2" s="165" t="s">
        <v>679</v>
      </c>
      <c r="G2" s="58" t="s">
        <v>424</v>
      </c>
    </row>
    <row r="3" spans="1:7">
      <c r="A3" s="475">
        <v>40057</v>
      </c>
      <c r="B3" s="476" t="b">
        <f>MOD(MONTH(A3)+1,3)=2</f>
        <v>0</v>
      </c>
      <c r="C3" s="467">
        <v>10285000000</v>
      </c>
      <c r="D3" s="468">
        <v>781200000</v>
      </c>
      <c r="E3" s="468">
        <v>439200000</v>
      </c>
      <c r="F3" s="469">
        <v>548450000</v>
      </c>
      <c r="G3" s="464">
        <f>SUM(C3:F3)</f>
        <v>12053850000</v>
      </c>
    </row>
    <row r="4" spans="1:7">
      <c r="A4" s="477">
        <v>40106</v>
      </c>
      <c r="B4" s="478" t="b">
        <f>MOD(MONTH(A4)+2,3)=2</f>
        <v>0</v>
      </c>
      <c r="C4" s="470">
        <v>10285000000</v>
      </c>
      <c r="D4" s="174">
        <v>781200000</v>
      </c>
      <c r="E4" s="174">
        <v>439200000</v>
      </c>
      <c r="F4" s="471">
        <v>548450000</v>
      </c>
      <c r="G4" s="465">
        <f t="shared" ref="G4:G53" si="0">SUM(C4:F4)</f>
        <v>12053850000</v>
      </c>
    </row>
    <row r="5" spans="1:7">
      <c r="A5" s="477">
        <v>40137</v>
      </c>
      <c r="B5" s="478" t="b">
        <f t="shared" ref="B5:B36" si="1">MOD(MONTH(A5)+1,3)=0</f>
        <v>1</v>
      </c>
      <c r="C5" s="470">
        <v>10285000000</v>
      </c>
      <c r="D5" s="174">
        <v>781200000</v>
      </c>
      <c r="E5" s="174">
        <v>439200000</v>
      </c>
      <c r="F5" s="471">
        <v>548450000</v>
      </c>
      <c r="G5" s="465">
        <f t="shared" si="0"/>
        <v>12053850000</v>
      </c>
    </row>
    <row r="6" spans="1:7">
      <c r="A6" s="477">
        <v>40167</v>
      </c>
      <c r="B6" s="478" t="b">
        <f t="shared" si="1"/>
        <v>0</v>
      </c>
      <c r="C6" s="470">
        <v>10285000000</v>
      </c>
      <c r="D6" s="174">
        <v>781200000</v>
      </c>
      <c r="E6" s="174">
        <v>439200000</v>
      </c>
      <c r="F6" s="471">
        <v>548450000</v>
      </c>
      <c r="G6" s="465">
        <f t="shared" si="0"/>
        <v>12053850000</v>
      </c>
    </row>
    <row r="7" spans="1:7">
      <c r="A7" s="477">
        <v>40198</v>
      </c>
      <c r="B7" s="478" t="b">
        <f t="shared" si="1"/>
        <v>0</v>
      </c>
      <c r="C7" s="470">
        <v>10285000000</v>
      </c>
      <c r="D7" s="174">
        <v>781200000</v>
      </c>
      <c r="E7" s="174">
        <v>439200000</v>
      </c>
      <c r="F7" s="471">
        <v>548450000</v>
      </c>
      <c r="G7" s="465">
        <f t="shared" si="0"/>
        <v>12053850000</v>
      </c>
    </row>
    <row r="8" spans="1:7">
      <c r="A8" s="477">
        <v>40231</v>
      </c>
      <c r="B8" s="478" t="b">
        <f t="shared" si="1"/>
        <v>1</v>
      </c>
      <c r="C8" s="470">
        <v>10285000000</v>
      </c>
      <c r="D8" s="174">
        <v>781200000</v>
      </c>
      <c r="E8" s="174">
        <v>439200000</v>
      </c>
      <c r="F8" s="471">
        <v>548450000</v>
      </c>
      <c r="G8" s="465">
        <f t="shared" si="0"/>
        <v>12053850000</v>
      </c>
    </row>
    <row r="9" spans="1:7">
      <c r="A9" s="477">
        <v>40257</v>
      </c>
      <c r="B9" s="478" t="b">
        <f t="shared" si="1"/>
        <v>0</v>
      </c>
      <c r="C9" s="470">
        <v>10285000000</v>
      </c>
      <c r="D9" s="174">
        <v>781200000</v>
      </c>
      <c r="E9" s="174">
        <v>439200000</v>
      </c>
      <c r="F9" s="471">
        <v>548450000</v>
      </c>
      <c r="G9" s="465">
        <f t="shared" si="0"/>
        <v>12053850000</v>
      </c>
    </row>
    <row r="10" spans="1:7">
      <c r="A10" s="477">
        <v>40288</v>
      </c>
      <c r="B10" s="478" t="b">
        <f t="shared" si="1"/>
        <v>0</v>
      </c>
      <c r="C10" s="470">
        <v>10285000000</v>
      </c>
      <c r="D10" s="174">
        <v>781200000</v>
      </c>
      <c r="E10" s="174">
        <v>439200000</v>
      </c>
      <c r="F10" s="471">
        <v>548450000</v>
      </c>
      <c r="G10" s="465">
        <f t="shared" si="0"/>
        <v>12053850000</v>
      </c>
    </row>
    <row r="11" spans="1:7">
      <c r="A11" s="477">
        <v>40318</v>
      </c>
      <c r="B11" s="478" t="b">
        <f t="shared" si="1"/>
        <v>1</v>
      </c>
      <c r="C11" s="470">
        <v>10285000000</v>
      </c>
      <c r="D11" s="174">
        <v>781200000</v>
      </c>
      <c r="E11" s="174">
        <v>439200000</v>
      </c>
      <c r="F11" s="471">
        <v>548450000</v>
      </c>
      <c r="G11" s="465">
        <f t="shared" si="0"/>
        <v>12053850000</v>
      </c>
    </row>
    <row r="12" spans="1:7">
      <c r="A12" s="477">
        <v>40349</v>
      </c>
      <c r="B12" s="478" t="b">
        <f t="shared" si="1"/>
        <v>0</v>
      </c>
      <c r="C12" s="470">
        <v>10285000000</v>
      </c>
      <c r="D12" s="174">
        <v>781200000</v>
      </c>
      <c r="E12" s="174">
        <v>439200000</v>
      </c>
      <c r="F12" s="471">
        <v>548450000</v>
      </c>
      <c r="G12" s="465">
        <f t="shared" si="0"/>
        <v>12053850000</v>
      </c>
    </row>
    <row r="13" spans="1:7">
      <c r="A13" s="477">
        <v>40379</v>
      </c>
      <c r="B13" s="478" t="b">
        <f t="shared" si="1"/>
        <v>0</v>
      </c>
      <c r="C13" s="470">
        <v>10285000000</v>
      </c>
      <c r="D13" s="174">
        <v>781200000</v>
      </c>
      <c r="E13" s="174">
        <v>439200000</v>
      </c>
      <c r="F13" s="471">
        <v>548450000</v>
      </c>
      <c r="G13" s="465">
        <f t="shared" si="0"/>
        <v>12053850000</v>
      </c>
    </row>
    <row r="14" spans="1:7">
      <c r="A14" s="477">
        <v>40410</v>
      </c>
      <c r="B14" s="478" t="b">
        <f t="shared" si="1"/>
        <v>1</v>
      </c>
      <c r="C14" s="470">
        <v>10285000000</v>
      </c>
      <c r="D14" s="174">
        <v>781200000</v>
      </c>
      <c r="E14" s="174">
        <v>439200000</v>
      </c>
      <c r="F14" s="471">
        <v>548450000</v>
      </c>
      <c r="G14" s="465">
        <f t="shared" si="0"/>
        <v>12053850000</v>
      </c>
    </row>
    <row r="15" spans="1:7">
      <c r="A15" s="477">
        <v>40441</v>
      </c>
      <c r="B15" s="478" t="b">
        <f t="shared" si="1"/>
        <v>0</v>
      </c>
      <c r="C15" s="470">
        <v>10285000000</v>
      </c>
      <c r="D15" s="174">
        <v>781200000</v>
      </c>
      <c r="E15" s="174">
        <v>439200000</v>
      </c>
      <c r="F15" s="471">
        <v>548450000</v>
      </c>
      <c r="G15" s="465">
        <f t="shared" si="0"/>
        <v>12053850000</v>
      </c>
    </row>
    <row r="16" spans="1:7">
      <c r="A16" s="477">
        <v>40471</v>
      </c>
      <c r="B16" s="478" t="b">
        <f t="shared" si="1"/>
        <v>0</v>
      </c>
      <c r="C16" s="470">
        <v>10285000000</v>
      </c>
      <c r="D16" s="174">
        <v>781200000</v>
      </c>
      <c r="E16" s="174">
        <v>439200000</v>
      </c>
      <c r="F16" s="471">
        <v>548450000</v>
      </c>
      <c r="G16" s="465">
        <f t="shared" si="0"/>
        <v>12053850000</v>
      </c>
    </row>
    <row r="17" spans="1:7">
      <c r="A17" s="477">
        <v>40504</v>
      </c>
      <c r="B17" s="478" t="b">
        <f t="shared" si="1"/>
        <v>1</v>
      </c>
      <c r="C17" s="470">
        <v>10285000000</v>
      </c>
      <c r="D17" s="174">
        <v>781200000</v>
      </c>
      <c r="E17" s="174">
        <v>439200000</v>
      </c>
      <c r="F17" s="471">
        <v>548450000</v>
      </c>
      <c r="G17" s="465">
        <f t="shared" si="0"/>
        <v>12053850000</v>
      </c>
    </row>
    <row r="18" spans="1:7">
      <c r="A18" s="477">
        <v>40532</v>
      </c>
      <c r="B18" s="478" t="b">
        <f t="shared" si="1"/>
        <v>0</v>
      </c>
      <c r="C18" s="470">
        <v>10285000000</v>
      </c>
      <c r="D18" s="174">
        <v>781200000</v>
      </c>
      <c r="E18" s="174">
        <v>439200000</v>
      </c>
      <c r="F18" s="471">
        <v>548450000</v>
      </c>
      <c r="G18" s="465">
        <f t="shared" si="0"/>
        <v>12053850000</v>
      </c>
    </row>
    <row r="19" spans="1:7">
      <c r="A19" s="477">
        <v>40563</v>
      </c>
      <c r="B19" s="478" t="b">
        <f t="shared" si="1"/>
        <v>0</v>
      </c>
      <c r="C19" s="470">
        <v>10285000000</v>
      </c>
      <c r="D19" s="174">
        <v>781200000</v>
      </c>
      <c r="E19" s="174">
        <v>439200000</v>
      </c>
      <c r="F19" s="471">
        <v>548450000</v>
      </c>
      <c r="G19" s="465">
        <f t="shared" si="0"/>
        <v>12053850000</v>
      </c>
    </row>
    <row r="20" spans="1:7">
      <c r="A20" s="477">
        <v>40594</v>
      </c>
      <c r="B20" s="478" t="b">
        <f t="shared" si="1"/>
        <v>1</v>
      </c>
      <c r="C20" s="470">
        <v>10285000000</v>
      </c>
      <c r="D20" s="174">
        <v>781200000</v>
      </c>
      <c r="E20" s="174">
        <v>439200000</v>
      </c>
      <c r="F20" s="471">
        <v>548450000</v>
      </c>
      <c r="G20" s="465">
        <f t="shared" si="0"/>
        <v>12053850000</v>
      </c>
    </row>
    <row r="21" spans="1:7">
      <c r="A21" s="477">
        <v>40622</v>
      </c>
      <c r="B21" s="478" t="b">
        <f t="shared" si="1"/>
        <v>0</v>
      </c>
      <c r="C21" s="470">
        <v>10285000000</v>
      </c>
      <c r="D21" s="174">
        <v>781200000</v>
      </c>
      <c r="E21" s="174">
        <v>439200000</v>
      </c>
      <c r="F21" s="471">
        <v>548450000</v>
      </c>
      <c r="G21" s="465">
        <f t="shared" si="0"/>
        <v>12053850000</v>
      </c>
    </row>
    <row r="22" spans="1:7">
      <c r="A22" s="477">
        <v>40653</v>
      </c>
      <c r="B22" s="478" t="b">
        <f t="shared" si="1"/>
        <v>0</v>
      </c>
      <c r="C22" s="470">
        <v>10285000000</v>
      </c>
      <c r="D22" s="174">
        <v>781200000</v>
      </c>
      <c r="E22" s="174">
        <v>439200000</v>
      </c>
      <c r="F22" s="471">
        <v>548450000</v>
      </c>
      <c r="G22" s="465">
        <f t="shared" si="0"/>
        <v>12053850000</v>
      </c>
    </row>
    <row r="23" spans="1:7">
      <c r="A23" s="477">
        <v>40683</v>
      </c>
      <c r="B23" s="478" t="b">
        <f t="shared" si="1"/>
        <v>1</v>
      </c>
      <c r="C23" s="470">
        <v>10285000000</v>
      </c>
      <c r="D23" s="174">
        <v>781200000</v>
      </c>
      <c r="E23" s="174">
        <v>439200000</v>
      </c>
      <c r="F23" s="471">
        <v>548450000</v>
      </c>
      <c r="G23" s="465">
        <f t="shared" si="0"/>
        <v>12053850000</v>
      </c>
    </row>
    <row r="24" spans="1:7">
      <c r="A24" s="477">
        <v>40714</v>
      </c>
      <c r="B24" s="478" t="b">
        <f t="shared" si="1"/>
        <v>0</v>
      </c>
      <c r="C24" s="470">
        <v>10285000000</v>
      </c>
      <c r="D24" s="174">
        <v>781200000</v>
      </c>
      <c r="E24" s="174">
        <v>439200000</v>
      </c>
      <c r="F24" s="471">
        <v>548450000</v>
      </c>
      <c r="G24" s="465">
        <f t="shared" si="0"/>
        <v>12053850000</v>
      </c>
    </row>
    <row r="25" spans="1:7">
      <c r="A25" s="477">
        <v>40744</v>
      </c>
      <c r="B25" s="478" t="b">
        <f t="shared" si="1"/>
        <v>0</v>
      </c>
      <c r="C25" s="470">
        <v>10285000000</v>
      </c>
      <c r="D25" s="174">
        <v>781200000</v>
      </c>
      <c r="E25" s="174">
        <v>439200000</v>
      </c>
      <c r="F25" s="471">
        <v>548450000</v>
      </c>
      <c r="G25" s="465">
        <f t="shared" si="0"/>
        <v>12053850000</v>
      </c>
    </row>
    <row r="26" spans="1:7">
      <c r="A26" s="477">
        <v>40775</v>
      </c>
      <c r="B26" s="478" t="b">
        <f t="shared" si="1"/>
        <v>1</v>
      </c>
      <c r="C26" s="470">
        <v>10285000000</v>
      </c>
      <c r="D26" s="174">
        <v>781200000</v>
      </c>
      <c r="E26" s="174">
        <v>439200000</v>
      </c>
      <c r="F26" s="471">
        <v>548450000</v>
      </c>
      <c r="G26" s="465">
        <f t="shared" si="0"/>
        <v>12053850000</v>
      </c>
    </row>
    <row r="27" spans="1:7">
      <c r="A27" s="477">
        <v>40806</v>
      </c>
      <c r="B27" s="478" t="b">
        <f t="shared" si="1"/>
        <v>0</v>
      </c>
      <c r="C27" s="470">
        <v>10285000000</v>
      </c>
      <c r="D27" s="174">
        <v>781200000</v>
      </c>
      <c r="E27" s="174">
        <v>439200000</v>
      </c>
      <c r="F27" s="471">
        <v>548450000</v>
      </c>
      <c r="G27" s="465">
        <f t="shared" si="0"/>
        <v>12053850000</v>
      </c>
    </row>
    <row r="28" spans="1:7">
      <c r="A28" s="477">
        <v>40836</v>
      </c>
      <c r="B28" s="478" t="b">
        <f t="shared" si="1"/>
        <v>0</v>
      </c>
      <c r="C28" s="470">
        <v>10285000000</v>
      </c>
      <c r="D28" s="174">
        <v>781200000</v>
      </c>
      <c r="E28" s="174">
        <v>439200000</v>
      </c>
      <c r="F28" s="471">
        <v>548450000</v>
      </c>
      <c r="G28" s="465">
        <f t="shared" si="0"/>
        <v>12053850000</v>
      </c>
    </row>
    <row r="29" spans="1:7">
      <c r="A29" s="477">
        <v>40867</v>
      </c>
      <c r="B29" s="478" t="b">
        <f t="shared" si="1"/>
        <v>1</v>
      </c>
      <c r="C29" s="470">
        <v>10285000000</v>
      </c>
      <c r="D29" s="174">
        <v>781200000</v>
      </c>
      <c r="E29" s="174">
        <v>439200000</v>
      </c>
      <c r="F29" s="471">
        <v>548450000</v>
      </c>
      <c r="G29" s="465">
        <f t="shared" si="0"/>
        <v>12053850000</v>
      </c>
    </row>
    <row r="30" spans="1:7">
      <c r="A30" s="477">
        <v>40897</v>
      </c>
      <c r="B30" s="478" t="b">
        <f t="shared" si="1"/>
        <v>0</v>
      </c>
      <c r="C30" s="470">
        <v>10285000000</v>
      </c>
      <c r="D30" s="174">
        <v>781200000</v>
      </c>
      <c r="E30" s="174">
        <v>439200000</v>
      </c>
      <c r="F30" s="471">
        <v>548450000</v>
      </c>
      <c r="G30" s="465">
        <f t="shared" si="0"/>
        <v>12053850000</v>
      </c>
    </row>
    <row r="31" spans="1:7">
      <c r="A31" s="477">
        <v>40928</v>
      </c>
      <c r="B31" s="478" t="b">
        <f t="shared" si="1"/>
        <v>0</v>
      </c>
      <c r="C31" s="470">
        <v>10285000000</v>
      </c>
      <c r="D31" s="174">
        <v>781200000</v>
      </c>
      <c r="E31" s="174">
        <v>439200000</v>
      </c>
      <c r="F31" s="471">
        <v>548450000</v>
      </c>
      <c r="G31" s="465">
        <f t="shared" si="0"/>
        <v>12053850000</v>
      </c>
    </row>
    <row r="32" spans="1:7">
      <c r="A32" s="477">
        <v>40959</v>
      </c>
      <c r="B32" s="478" t="b">
        <f t="shared" si="1"/>
        <v>1</v>
      </c>
      <c r="C32" s="470">
        <v>10285000000</v>
      </c>
      <c r="D32" s="174">
        <v>781200000</v>
      </c>
      <c r="E32" s="174">
        <v>439200000</v>
      </c>
      <c r="F32" s="471">
        <v>548450000</v>
      </c>
      <c r="G32" s="465">
        <f t="shared" si="0"/>
        <v>12053850000</v>
      </c>
    </row>
    <row r="33" spans="1:7">
      <c r="A33" s="477">
        <v>40988</v>
      </c>
      <c r="B33" s="478" t="b">
        <f t="shared" si="1"/>
        <v>0</v>
      </c>
      <c r="C33" s="470">
        <v>10285000000</v>
      </c>
      <c r="D33" s="174">
        <v>781200000</v>
      </c>
      <c r="E33" s="174">
        <v>439200000</v>
      </c>
      <c r="F33" s="471">
        <v>548450000</v>
      </c>
      <c r="G33" s="465">
        <f t="shared" si="0"/>
        <v>12053850000</v>
      </c>
    </row>
    <row r="34" spans="1:7">
      <c r="A34" s="477">
        <v>41019</v>
      </c>
      <c r="B34" s="478" t="b">
        <f t="shared" si="1"/>
        <v>0</v>
      </c>
      <c r="C34" s="470">
        <v>10285000000</v>
      </c>
      <c r="D34" s="174">
        <v>781200000</v>
      </c>
      <c r="E34" s="174">
        <v>439200000</v>
      </c>
      <c r="F34" s="471">
        <v>548450000</v>
      </c>
      <c r="G34" s="465">
        <f t="shared" si="0"/>
        <v>12053850000</v>
      </c>
    </row>
    <row r="35" spans="1:7">
      <c r="A35" s="477">
        <v>41049</v>
      </c>
      <c r="B35" s="478" t="b">
        <f t="shared" si="1"/>
        <v>1</v>
      </c>
      <c r="C35" s="470">
        <v>10285000000</v>
      </c>
      <c r="D35" s="174">
        <v>781200000</v>
      </c>
      <c r="E35" s="174">
        <v>439200000</v>
      </c>
      <c r="F35" s="471">
        <v>548450000</v>
      </c>
      <c r="G35" s="465">
        <f t="shared" si="0"/>
        <v>12053850000</v>
      </c>
    </row>
    <row r="36" spans="1:7">
      <c r="A36" s="477">
        <v>41080</v>
      </c>
      <c r="B36" s="478" t="b">
        <f t="shared" si="1"/>
        <v>0</v>
      </c>
      <c r="C36" s="470">
        <v>10285000000</v>
      </c>
      <c r="D36" s="174">
        <v>781200000</v>
      </c>
      <c r="E36" s="174">
        <v>439200000</v>
      </c>
      <c r="F36" s="471">
        <v>548450000</v>
      </c>
      <c r="G36" s="465">
        <f t="shared" si="0"/>
        <v>12053850000</v>
      </c>
    </row>
    <row r="37" spans="1:7">
      <c r="A37" s="477">
        <v>41110</v>
      </c>
      <c r="B37" s="478" t="b">
        <f t="shared" ref="B37:B101" si="2">MOD(MONTH(A37)+1,3)=0</f>
        <v>0</v>
      </c>
      <c r="C37" s="470">
        <v>10285000000</v>
      </c>
      <c r="D37" s="174">
        <v>781200000</v>
      </c>
      <c r="E37" s="174">
        <v>439200000</v>
      </c>
      <c r="F37" s="471">
        <v>548450000</v>
      </c>
      <c r="G37" s="465">
        <f t="shared" si="0"/>
        <v>12053850000</v>
      </c>
    </row>
    <row r="38" spans="1:7">
      <c r="A38" s="477">
        <v>41141</v>
      </c>
      <c r="B38" s="478" t="b">
        <f t="shared" si="2"/>
        <v>1</v>
      </c>
      <c r="C38" s="470">
        <v>10285000000</v>
      </c>
      <c r="D38" s="174">
        <v>781200000</v>
      </c>
      <c r="E38" s="174">
        <v>439200000</v>
      </c>
      <c r="F38" s="471">
        <v>548450000</v>
      </c>
      <c r="G38" s="465">
        <f t="shared" si="0"/>
        <v>12053850000</v>
      </c>
    </row>
    <row r="39" spans="1:7">
      <c r="A39" s="477">
        <v>41172</v>
      </c>
      <c r="B39" s="478" t="b">
        <f t="shared" si="2"/>
        <v>0</v>
      </c>
      <c r="C39" s="470">
        <v>10285000000</v>
      </c>
      <c r="D39" s="174">
        <v>781200000</v>
      </c>
      <c r="E39" s="174">
        <v>439200000</v>
      </c>
      <c r="F39" s="471">
        <v>548450000</v>
      </c>
      <c r="G39" s="465">
        <f t="shared" si="0"/>
        <v>12053850000</v>
      </c>
    </row>
    <row r="40" spans="1:7">
      <c r="A40" s="477">
        <v>41202</v>
      </c>
      <c r="B40" s="478" t="b">
        <f t="shared" si="2"/>
        <v>0</v>
      </c>
      <c r="C40" s="470">
        <v>10285000000</v>
      </c>
      <c r="D40" s="174">
        <v>781200000</v>
      </c>
      <c r="E40" s="174">
        <v>439200000</v>
      </c>
      <c r="F40" s="471">
        <v>548450000</v>
      </c>
      <c r="G40" s="465">
        <f t="shared" si="0"/>
        <v>12053850000</v>
      </c>
    </row>
    <row r="41" spans="1:7">
      <c r="A41" s="477">
        <v>41233</v>
      </c>
      <c r="B41" s="478" t="b">
        <f t="shared" si="2"/>
        <v>1</v>
      </c>
      <c r="C41" s="470">
        <v>10285000000</v>
      </c>
      <c r="D41" s="174">
        <v>781200000</v>
      </c>
      <c r="E41" s="174">
        <v>439200000</v>
      </c>
      <c r="F41" s="471">
        <v>548450000</v>
      </c>
      <c r="G41" s="465">
        <f t="shared" si="0"/>
        <v>12053850000</v>
      </c>
    </row>
    <row r="42" spans="1:7">
      <c r="A42" s="477">
        <v>41263</v>
      </c>
      <c r="B42" s="478" t="b">
        <f t="shared" si="2"/>
        <v>0</v>
      </c>
      <c r="C42" s="470">
        <v>10285000000</v>
      </c>
      <c r="D42" s="174">
        <v>781200000</v>
      </c>
      <c r="E42" s="174">
        <v>439200000</v>
      </c>
      <c r="F42" s="471">
        <v>548450000</v>
      </c>
      <c r="G42" s="465">
        <f t="shared" si="0"/>
        <v>12053850000</v>
      </c>
    </row>
    <row r="43" spans="1:7">
      <c r="A43" s="477">
        <v>41294</v>
      </c>
      <c r="B43" s="478" t="b">
        <f t="shared" si="2"/>
        <v>0</v>
      </c>
      <c r="C43" s="470">
        <v>10285000000</v>
      </c>
      <c r="D43" s="174">
        <v>781200000</v>
      </c>
      <c r="E43" s="174">
        <v>439200000</v>
      </c>
      <c r="F43" s="471">
        <v>548450000</v>
      </c>
      <c r="G43" s="465">
        <f t="shared" si="0"/>
        <v>12053850000</v>
      </c>
    </row>
    <row r="44" spans="1:7">
      <c r="A44" s="477">
        <v>41325</v>
      </c>
      <c r="B44" s="478" t="b">
        <f t="shared" si="2"/>
        <v>1</v>
      </c>
      <c r="C44" s="470">
        <v>10285000000</v>
      </c>
      <c r="D44" s="174">
        <v>781200000</v>
      </c>
      <c r="E44" s="174">
        <v>439200000</v>
      </c>
      <c r="F44" s="471">
        <v>548450000</v>
      </c>
      <c r="G44" s="465">
        <f t="shared" si="0"/>
        <v>12053850000</v>
      </c>
    </row>
    <row r="45" spans="1:7">
      <c r="A45" s="477">
        <v>41353</v>
      </c>
      <c r="B45" s="478" t="b">
        <f t="shared" si="2"/>
        <v>0</v>
      </c>
      <c r="C45" s="470">
        <v>10285000000</v>
      </c>
      <c r="D45" s="174">
        <v>781200000</v>
      </c>
      <c r="E45" s="174">
        <v>439200000</v>
      </c>
      <c r="F45" s="471">
        <v>548450000</v>
      </c>
      <c r="G45" s="465">
        <f t="shared" si="0"/>
        <v>12053850000</v>
      </c>
    </row>
    <row r="46" spans="1:7">
      <c r="A46" s="477">
        <v>41384</v>
      </c>
      <c r="B46" s="478" t="b">
        <f t="shared" si="2"/>
        <v>0</v>
      </c>
      <c r="C46" s="470">
        <v>10285000000</v>
      </c>
      <c r="D46" s="174">
        <v>781200000</v>
      </c>
      <c r="E46" s="174">
        <v>439200000</v>
      </c>
      <c r="F46" s="471">
        <v>548450000</v>
      </c>
      <c r="G46" s="465">
        <f t="shared" si="0"/>
        <v>12053850000</v>
      </c>
    </row>
    <row r="47" spans="1:7">
      <c r="A47" s="477">
        <v>41414</v>
      </c>
      <c r="B47" s="478" t="b">
        <f t="shared" si="2"/>
        <v>1</v>
      </c>
      <c r="C47" s="470">
        <v>10285000000</v>
      </c>
      <c r="D47" s="174">
        <v>781200000</v>
      </c>
      <c r="E47" s="174">
        <v>439200000</v>
      </c>
      <c r="F47" s="471">
        <v>548450000</v>
      </c>
      <c r="G47" s="465">
        <f t="shared" si="0"/>
        <v>12053850000</v>
      </c>
    </row>
    <row r="48" spans="1:7">
      <c r="A48" s="477">
        <v>41445</v>
      </c>
      <c r="B48" s="478" t="b">
        <f t="shared" si="2"/>
        <v>0</v>
      </c>
      <c r="C48" s="470">
        <v>10285000000</v>
      </c>
      <c r="D48" s="174">
        <v>781200000</v>
      </c>
      <c r="E48" s="174">
        <v>439200000</v>
      </c>
      <c r="F48" s="471">
        <v>548450000</v>
      </c>
      <c r="G48" s="465">
        <f t="shared" si="0"/>
        <v>12053850000</v>
      </c>
    </row>
    <row r="49" spans="1:48">
      <c r="A49" s="477">
        <v>41475</v>
      </c>
      <c r="B49" s="478" t="b">
        <f t="shared" si="2"/>
        <v>0</v>
      </c>
      <c r="C49" s="470">
        <v>10285000000</v>
      </c>
      <c r="D49" s="174">
        <v>781200000</v>
      </c>
      <c r="E49" s="174">
        <v>439200000</v>
      </c>
      <c r="F49" s="471">
        <v>548450000</v>
      </c>
      <c r="G49" s="465">
        <f t="shared" si="0"/>
        <v>12053850000</v>
      </c>
    </row>
    <row r="50" spans="1:48">
      <c r="A50" s="477">
        <v>41506</v>
      </c>
      <c r="B50" s="478" t="b">
        <f t="shared" si="2"/>
        <v>1</v>
      </c>
      <c r="C50" s="470">
        <v>10285000000</v>
      </c>
      <c r="D50" s="174">
        <v>781200000</v>
      </c>
      <c r="E50" s="174">
        <v>439200000</v>
      </c>
      <c r="F50" s="471">
        <v>548450000</v>
      </c>
      <c r="G50" s="465">
        <f t="shared" si="0"/>
        <v>12053850000</v>
      </c>
    </row>
    <row r="51" spans="1:48">
      <c r="A51" s="477">
        <v>41537</v>
      </c>
      <c r="B51" s="478" t="b">
        <f t="shared" si="2"/>
        <v>0</v>
      </c>
      <c r="C51" s="470">
        <v>10285000000</v>
      </c>
      <c r="D51" s="174">
        <v>781200000</v>
      </c>
      <c r="E51" s="174">
        <v>439200000</v>
      </c>
      <c r="F51" s="471">
        <v>548450000</v>
      </c>
      <c r="G51" s="465">
        <f t="shared" si="0"/>
        <v>12053850000</v>
      </c>
    </row>
    <row r="52" spans="1:48">
      <c r="A52" s="477">
        <v>41567</v>
      </c>
      <c r="B52" s="478" t="b">
        <f t="shared" si="2"/>
        <v>0</v>
      </c>
      <c r="C52" s="470">
        <v>10285000000</v>
      </c>
      <c r="D52" s="174">
        <v>781200000</v>
      </c>
      <c r="E52" s="174">
        <v>439200000</v>
      </c>
      <c r="F52" s="471">
        <v>548450000</v>
      </c>
      <c r="G52" s="465">
        <f t="shared" si="0"/>
        <v>12053850000</v>
      </c>
    </row>
    <row r="53" spans="1:48">
      <c r="A53" s="479">
        <v>41598</v>
      </c>
      <c r="B53" s="480" t="b">
        <f t="shared" si="2"/>
        <v>1</v>
      </c>
      <c r="C53" s="472">
        <v>9630977494</v>
      </c>
      <c r="D53" s="473">
        <v>781200000</v>
      </c>
      <c r="E53" s="473">
        <v>439200000</v>
      </c>
      <c r="F53" s="474">
        <v>548450000</v>
      </c>
      <c r="G53" s="466">
        <f t="shared" si="0"/>
        <v>11399827494</v>
      </c>
    </row>
    <row r="54" spans="1:48">
      <c r="A54" s="166"/>
      <c r="B54" s="166"/>
      <c r="C54" s="168"/>
      <c r="D54" s="168"/>
      <c r="E54" s="168"/>
      <c r="F54" s="168"/>
    </row>
    <row r="55" spans="1:48">
      <c r="A55" s="166"/>
      <c r="B55" s="166"/>
      <c r="C55" s="168"/>
      <c r="D55" s="168"/>
      <c r="E55" s="168"/>
      <c r="F55" s="168"/>
    </row>
    <row r="56" spans="1:48">
      <c r="A56" s="166"/>
      <c r="B56" s="166"/>
      <c r="C56" s="168"/>
      <c r="D56" s="168"/>
      <c r="E56" s="168"/>
      <c r="F56" s="168"/>
    </row>
    <row r="57" spans="1:48">
      <c r="A57" s="166"/>
      <c r="B57" s="166"/>
      <c r="C57" s="168"/>
      <c r="D57" s="168"/>
      <c r="E57" s="168"/>
      <c r="F57" s="168"/>
    </row>
    <row r="58" spans="1:48">
      <c r="A58" s="166"/>
      <c r="B58" s="166"/>
      <c r="C58" s="168"/>
      <c r="D58" s="168"/>
      <c r="E58" s="168"/>
      <c r="F58" s="168"/>
    </row>
    <row r="59" spans="1:48">
      <c r="A59" s="172" t="s">
        <v>979</v>
      </c>
      <c r="B59" s="166"/>
      <c r="C59" s="482" t="str">
        <f>C1</f>
        <v>2009-1-A</v>
      </c>
      <c r="D59" s="482" t="str">
        <f>D1</f>
        <v>2009-1-B</v>
      </c>
      <c r="E59" s="482" t="str">
        <f>E1</f>
        <v>2009-1-C</v>
      </c>
      <c r="F59" s="482" t="str">
        <f>F1</f>
        <v>2009-1-D</v>
      </c>
      <c r="G59" s="483" t="s">
        <v>0</v>
      </c>
      <c r="H59" s="169"/>
      <c r="I59" s="488" t="s">
        <v>91</v>
      </c>
      <c r="J59" s="170"/>
      <c r="K59" s="482" t="s">
        <v>431</v>
      </c>
      <c r="L59" s="482" t="s">
        <v>421</v>
      </c>
      <c r="M59" s="482" t="s">
        <v>422</v>
      </c>
      <c r="N59" s="482" t="s">
        <v>423</v>
      </c>
      <c r="O59" s="483" t="s">
        <v>92</v>
      </c>
      <c r="P59" s="170"/>
      <c r="Q59" s="488" t="s">
        <v>977</v>
      </c>
      <c r="R59" s="170"/>
      <c r="S59" s="482" t="s">
        <v>431</v>
      </c>
      <c r="T59" s="482" t="s">
        <v>421</v>
      </c>
      <c r="U59" s="482" t="s">
        <v>422</v>
      </c>
      <c r="V59" s="482" t="s">
        <v>423</v>
      </c>
      <c r="W59" s="170"/>
      <c r="X59" s="170"/>
      <c r="Y59" s="170"/>
      <c r="Z59" s="169"/>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row>
    <row r="60" spans="1:48">
      <c r="A60" s="475">
        <v>40057</v>
      </c>
      <c r="B60" s="476" t="b">
        <f t="shared" si="2"/>
        <v>0</v>
      </c>
      <c r="C60" s="470">
        <v>0</v>
      </c>
      <c r="D60" s="174">
        <v>0</v>
      </c>
      <c r="E60" s="174">
        <v>0</v>
      </c>
      <c r="F60" s="471">
        <v>0</v>
      </c>
      <c r="G60" s="465">
        <f t="shared" ref="G60:G96" si="3">SUM(C60:F60)</f>
        <v>0</v>
      </c>
      <c r="H60" s="169"/>
      <c r="I60" s="171">
        <f>A60</f>
        <v>40057</v>
      </c>
      <c r="J60" s="171" t="b">
        <f>B60</f>
        <v>0</v>
      </c>
      <c r="K60" s="489"/>
      <c r="L60" s="490"/>
      <c r="M60" s="490"/>
      <c r="N60" s="490"/>
      <c r="O60" s="487">
        <f>SUM(K60:N60)</f>
        <v>0</v>
      </c>
      <c r="P60" s="170"/>
      <c r="Q60" s="171">
        <f>I60</f>
        <v>40057</v>
      </c>
      <c r="R60" s="171" t="b">
        <f>J60</f>
        <v>0</v>
      </c>
      <c r="S60" s="167">
        <f>C3</f>
        <v>10285000000</v>
      </c>
      <c r="T60" s="167">
        <f>D3</f>
        <v>781200000</v>
      </c>
      <c r="U60" s="167">
        <f>E3</f>
        <v>439200000</v>
      </c>
      <c r="V60" s="167">
        <f>F3</f>
        <v>548450000</v>
      </c>
      <c r="W60" s="170"/>
      <c r="X60" s="170"/>
      <c r="Y60" s="170"/>
      <c r="Z60" s="169"/>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row>
    <row r="61" spans="1:48">
      <c r="A61" s="477">
        <v>40106</v>
      </c>
      <c r="B61" s="478" t="b">
        <f t="shared" si="2"/>
        <v>0</v>
      </c>
      <c r="C61" s="470">
        <f t="shared" ref="C61:F80" si="4">ROUND((C3-C4),2)</f>
        <v>0</v>
      </c>
      <c r="D61" s="174">
        <f t="shared" si="4"/>
        <v>0</v>
      </c>
      <c r="E61" s="174">
        <f t="shared" si="4"/>
        <v>0</v>
      </c>
      <c r="F61" s="471">
        <f t="shared" si="4"/>
        <v>0</v>
      </c>
      <c r="G61" s="465">
        <f t="shared" si="3"/>
        <v>0</v>
      </c>
      <c r="H61" s="171"/>
      <c r="I61" s="171">
        <f t="shared" ref="I61:I111" si="5">A61</f>
        <v>40106</v>
      </c>
      <c r="J61" s="171" t="b">
        <f t="shared" ref="J61:J111" si="6">B61</f>
        <v>0</v>
      </c>
      <c r="K61" s="491"/>
      <c r="L61" s="492"/>
      <c r="M61" s="492"/>
      <c r="N61" s="492"/>
      <c r="O61" s="487">
        <f t="shared" ref="O61:O111" si="7">SUM(K61:N61)</f>
        <v>0</v>
      </c>
      <c r="P61" s="170"/>
      <c r="Q61" s="171">
        <f t="shared" ref="Q61:Q111" si="8">I61</f>
        <v>40106</v>
      </c>
      <c r="R61" s="171" t="b">
        <f t="shared" ref="R61:R111" si="9">J61</f>
        <v>0</v>
      </c>
      <c r="S61" s="167">
        <f>$S$60-SUM($K$60:K61)</f>
        <v>10285000000</v>
      </c>
      <c r="T61" s="167">
        <f>$T$60-SUM($L$60:L61)</f>
        <v>781200000</v>
      </c>
      <c r="U61" s="167">
        <f>$U$60-SUM($M$60:M61)</f>
        <v>439200000</v>
      </c>
      <c r="V61" s="167">
        <f>$V$60-SUM($N$60:N61)</f>
        <v>548450000</v>
      </c>
      <c r="W61" s="170"/>
      <c r="X61" s="170"/>
      <c r="Y61" s="170"/>
      <c r="Z61" s="171"/>
      <c r="AA61" s="173"/>
      <c r="AB61" s="173"/>
      <c r="AC61" s="173"/>
      <c r="AD61" s="173"/>
      <c r="AE61" s="173"/>
      <c r="AF61" s="173"/>
      <c r="AG61" s="173"/>
      <c r="AH61" s="173"/>
      <c r="AI61" s="173"/>
      <c r="AJ61" s="173"/>
      <c r="AK61" s="173"/>
      <c r="AL61" s="173"/>
      <c r="AM61" s="173"/>
      <c r="AN61" s="173"/>
      <c r="AO61" s="173"/>
      <c r="AP61" s="173"/>
      <c r="AQ61" s="173"/>
      <c r="AR61" s="170"/>
      <c r="AS61" s="170"/>
      <c r="AT61" s="170"/>
      <c r="AU61" s="170"/>
      <c r="AV61" s="170"/>
    </row>
    <row r="62" spans="1:48">
      <c r="A62" s="477">
        <v>40137</v>
      </c>
      <c r="B62" s="478" t="b">
        <f t="shared" si="2"/>
        <v>1</v>
      </c>
      <c r="C62" s="470">
        <f t="shared" si="4"/>
        <v>0</v>
      </c>
      <c r="D62" s="174">
        <f t="shared" si="4"/>
        <v>0</v>
      </c>
      <c r="E62" s="174">
        <f t="shared" si="4"/>
        <v>0</v>
      </c>
      <c r="F62" s="471">
        <f t="shared" si="4"/>
        <v>0</v>
      </c>
      <c r="G62" s="465">
        <f t="shared" si="3"/>
        <v>0</v>
      </c>
      <c r="H62" s="171"/>
      <c r="I62" s="171">
        <f t="shared" si="5"/>
        <v>40137</v>
      </c>
      <c r="J62" s="171" t="b">
        <f t="shared" si="6"/>
        <v>1</v>
      </c>
      <c r="K62" s="491"/>
      <c r="L62" s="492"/>
      <c r="M62" s="492"/>
      <c r="N62" s="492"/>
      <c r="O62" s="487">
        <f t="shared" si="7"/>
        <v>0</v>
      </c>
      <c r="P62" s="170"/>
      <c r="Q62" s="171">
        <f t="shared" si="8"/>
        <v>40137</v>
      </c>
      <c r="R62" s="171" t="b">
        <f t="shared" si="9"/>
        <v>1</v>
      </c>
      <c r="S62" s="167">
        <f>$S$60-SUM($K$60:K62)</f>
        <v>10285000000</v>
      </c>
      <c r="T62" s="167">
        <f>$T$60-SUM($L$60:L62)</f>
        <v>781200000</v>
      </c>
      <c r="U62" s="167">
        <f>$U$60-SUM($M$60:M62)</f>
        <v>439200000</v>
      </c>
      <c r="V62" s="167">
        <f>$V$60-SUM($N$60:N62)</f>
        <v>548450000</v>
      </c>
      <c r="W62" s="170"/>
      <c r="X62" s="170"/>
      <c r="Y62" s="170"/>
      <c r="Z62" s="171"/>
      <c r="AA62" s="173"/>
      <c r="AB62" s="173"/>
      <c r="AC62" s="173"/>
      <c r="AD62" s="173"/>
      <c r="AE62" s="173"/>
      <c r="AF62" s="173"/>
      <c r="AG62" s="173"/>
      <c r="AH62" s="173"/>
      <c r="AI62" s="173"/>
      <c r="AJ62" s="173"/>
      <c r="AK62" s="173"/>
      <c r="AL62" s="173"/>
      <c r="AM62" s="173"/>
      <c r="AN62" s="173"/>
      <c r="AO62" s="173"/>
      <c r="AP62" s="173"/>
      <c r="AQ62" s="173"/>
      <c r="AR62" s="170"/>
      <c r="AS62" s="170"/>
      <c r="AT62" s="170"/>
      <c r="AU62" s="170"/>
      <c r="AV62" s="170"/>
    </row>
    <row r="63" spans="1:48">
      <c r="A63" s="477">
        <v>40167</v>
      </c>
      <c r="B63" s="478" t="b">
        <f t="shared" si="2"/>
        <v>0</v>
      </c>
      <c r="C63" s="470">
        <f t="shared" si="4"/>
        <v>0</v>
      </c>
      <c r="D63" s="174">
        <f t="shared" si="4"/>
        <v>0</v>
      </c>
      <c r="E63" s="174">
        <f t="shared" si="4"/>
        <v>0</v>
      </c>
      <c r="F63" s="471">
        <f t="shared" si="4"/>
        <v>0</v>
      </c>
      <c r="G63" s="465">
        <f t="shared" si="3"/>
        <v>0</v>
      </c>
      <c r="H63" s="171"/>
      <c r="I63" s="171">
        <f t="shared" si="5"/>
        <v>40167</v>
      </c>
      <c r="J63" s="171" t="b">
        <f t="shared" si="6"/>
        <v>0</v>
      </c>
      <c r="K63" s="491"/>
      <c r="L63" s="492"/>
      <c r="M63" s="492"/>
      <c r="N63" s="492"/>
      <c r="O63" s="487">
        <f t="shared" si="7"/>
        <v>0</v>
      </c>
      <c r="P63" s="170"/>
      <c r="Q63" s="171">
        <f t="shared" si="8"/>
        <v>40167</v>
      </c>
      <c r="R63" s="171" t="b">
        <f t="shared" si="9"/>
        <v>0</v>
      </c>
      <c r="S63" s="167">
        <f>$S$60-SUM($K$60:K63)</f>
        <v>10285000000</v>
      </c>
      <c r="T63" s="167">
        <f>$T$60-SUM($L$60:L63)</f>
        <v>781200000</v>
      </c>
      <c r="U63" s="167">
        <f>$U$60-SUM($M$60:M63)</f>
        <v>439200000</v>
      </c>
      <c r="V63" s="167">
        <f>$V$60-SUM($N$60:N63)</f>
        <v>548450000</v>
      </c>
      <c r="W63" s="170"/>
      <c r="X63" s="170"/>
      <c r="Y63" s="170"/>
      <c r="Z63" s="171"/>
      <c r="AA63" s="173"/>
      <c r="AB63" s="173"/>
      <c r="AC63" s="173"/>
      <c r="AD63" s="173"/>
      <c r="AE63" s="173"/>
      <c r="AF63" s="173"/>
      <c r="AG63" s="173"/>
      <c r="AH63" s="173"/>
      <c r="AI63" s="173"/>
      <c r="AJ63" s="173"/>
      <c r="AK63" s="173"/>
      <c r="AL63" s="173"/>
      <c r="AM63" s="173"/>
      <c r="AN63" s="173"/>
      <c r="AO63" s="173"/>
      <c r="AP63" s="173"/>
      <c r="AQ63" s="173"/>
      <c r="AR63" s="170"/>
      <c r="AS63" s="170"/>
      <c r="AT63" s="170"/>
      <c r="AU63" s="170"/>
      <c r="AV63" s="170"/>
    </row>
    <row r="64" spans="1:48">
      <c r="A64" s="477">
        <v>40198</v>
      </c>
      <c r="B64" s="478" t="b">
        <f>MOD(MONTH(A64)+1,3)=0</f>
        <v>0</v>
      </c>
      <c r="C64" s="470">
        <f t="shared" si="4"/>
        <v>0</v>
      </c>
      <c r="D64" s="174">
        <f t="shared" si="4"/>
        <v>0</v>
      </c>
      <c r="E64" s="174">
        <f t="shared" si="4"/>
        <v>0</v>
      </c>
      <c r="F64" s="471">
        <f t="shared" si="4"/>
        <v>0</v>
      </c>
      <c r="G64" s="465">
        <f t="shared" si="3"/>
        <v>0</v>
      </c>
      <c r="H64" s="171"/>
      <c r="I64" s="171">
        <f t="shared" si="5"/>
        <v>40198</v>
      </c>
      <c r="J64" s="171" t="b">
        <f t="shared" si="6"/>
        <v>0</v>
      </c>
      <c r="K64" s="491"/>
      <c r="L64" s="492"/>
      <c r="M64" s="492"/>
      <c r="N64" s="492"/>
      <c r="O64" s="487">
        <f t="shared" si="7"/>
        <v>0</v>
      </c>
      <c r="P64" s="170"/>
      <c r="Q64" s="171">
        <f t="shared" si="8"/>
        <v>40198</v>
      </c>
      <c r="R64" s="171" t="b">
        <f t="shared" si="9"/>
        <v>0</v>
      </c>
      <c r="S64" s="167">
        <f>$S$60-SUM($K$60:K64)</f>
        <v>10285000000</v>
      </c>
      <c r="T64" s="167">
        <f>$T$60-SUM($L$60:L64)</f>
        <v>781200000</v>
      </c>
      <c r="U64" s="167">
        <f>$U$60-SUM($M$60:M64)</f>
        <v>439200000</v>
      </c>
      <c r="V64" s="167">
        <f>$V$60-SUM($N$60:N64)</f>
        <v>548450000</v>
      </c>
      <c r="W64" s="170"/>
      <c r="X64" s="170"/>
      <c r="Y64" s="170"/>
      <c r="Z64" s="171"/>
      <c r="AA64" s="173"/>
      <c r="AB64" s="173"/>
      <c r="AC64" s="173"/>
      <c r="AD64" s="173"/>
      <c r="AE64" s="173"/>
      <c r="AF64" s="173"/>
      <c r="AG64" s="173"/>
      <c r="AH64" s="173"/>
      <c r="AI64" s="173"/>
      <c r="AJ64" s="173"/>
      <c r="AK64" s="173"/>
      <c r="AL64" s="173"/>
      <c r="AM64" s="173"/>
      <c r="AN64" s="173"/>
      <c r="AO64" s="173"/>
      <c r="AP64" s="173"/>
      <c r="AQ64" s="173"/>
      <c r="AR64" s="170"/>
      <c r="AS64" s="170"/>
      <c r="AT64" s="170"/>
      <c r="AU64" s="170"/>
      <c r="AV64" s="170"/>
    </row>
    <row r="65" spans="1:48">
      <c r="A65" s="477">
        <v>40231</v>
      </c>
      <c r="B65" s="478" t="b">
        <f t="shared" si="2"/>
        <v>1</v>
      </c>
      <c r="C65" s="470">
        <f t="shared" si="4"/>
        <v>0</v>
      </c>
      <c r="D65" s="174">
        <f t="shared" si="4"/>
        <v>0</v>
      </c>
      <c r="E65" s="174">
        <f t="shared" si="4"/>
        <v>0</v>
      </c>
      <c r="F65" s="471">
        <f t="shared" si="4"/>
        <v>0</v>
      </c>
      <c r="G65" s="465">
        <f t="shared" si="3"/>
        <v>0</v>
      </c>
      <c r="H65" s="171"/>
      <c r="I65" s="171">
        <f t="shared" si="5"/>
        <v>40231</v>
      </c>
      <c r="J65" s="171" t="b">
        <f t="shared" si="6"/>
        <v>1</v>
      </c>
      <c r="K65" s="491"/>
      <c r="L65" s="492"/>
      <c r="M65" s="492"/>
      <c r="N65" s="492"/>
      <c r="O65" s="487">
        <f t="shared" si="7"/>
        <v>0</v>
      </c>
      <c r="P65" s="170"/>
      <c r="Q65" s="171">
        <f t="shared" si="8"/>
        <v>40231</v>
      </c>
      <c r="R65" s="171" t="b">
        <f t="shared" si="9"/>
        <v>1</v>
      </c>
      <c r="S65" s="167">
        <f>$S$60-SUM($K$60:K65)</f>
        <v>10285000000</v>
      </c>
      <c r="T65" s="167">
        <f>$T$60-SUM($L$60:L65)</f>
        <v>781200000</v>
      </c>
      <c r="U65" s="167">
        <f>$U$60-SUM($M$60:M65)</f>
        <v>439200000</v>
      </c>
      <c r="V65" s="167">
        <f>$V$60-SUM($N$60:N65)</f>
        <v>548450000</v>
      </c>
      <c r="W65" s="170"/>
      <c r="X65" s="170"/>
      <c r="Y65" s="170"/>
      <c r="Z65" s="171"/>
      <c r="AA65" s="173"/>
      <c r="AB65" s="173"/>
      <c r="AC65" s="173"/>
      <c r="AD65" s="173"/>
      <c r="AE65" s="173"/>
      <c r="AF65" s="173"/>
      <c r="AG65" s="173"/>
      <c r="AH65" s="173"/>
      <c r="AI65" s="173"/>
      <c r="AJ65" s="173"/>
      <c r="AK65" s="173"/>
      <c r="AL65" s="173"/>
      <c r="AM65" s="173"/>
      <c r="AN65" s="173"/>
      <c r="AO65" s="173"/>
      <c r="AP65" s="173"/>
      <c r="AQ65" s="173"/>
      <c r="AR65" s="170"/>
      <c r="AS65" s="170"/>
      <c r="AT65" s="170"/>
      <c r="AU65" s="170"/>
      <c r="AV65" s="170"/>
    </row>
    <row r="66" spans="1:48">
      <c r="A66" s="477">
        <v>40257</v>
      </c>
      <c r="B66" s="478" t="b">
        <f t="shared" si="2"/>
        <v>0</v>
      </c>
      <c r="C66" s="470">
        <f t="shared" si="4"/>
        <v>0</v>
      </c>
      <c r="D66" s="174">
        <f t="shared" si="4"/>
        <v>0</v>
      </c>
      <c r="E66" s="174">
        <f t="shared" si="4"/>
        <v>0</v>
      </c>
      <c r="F66" s="471">
        <f t="shared" si="4"/>
        <v>0</v>
      </c>
      <c r="G66" s="465">
        <f t="shared" si="3"/>
        <v>0</v>
      </c>
      <c r="H66" s="171"/>
      <c r="I66" s="171">
        <f t="shared" si="5"/>
        <v>40257</v>
      </c>
      <c r="J66" s="171" t="b">
        <f t="shared" si="6"/>
        <v>0</v>
      </c>
      <c r="K66" s="491"/>
      <c r="L66" s="492"/>
      <c r="M66" s="492"/>
      <c r="N66" s="492"/>
      <c r="O66" s="487">
        <f t="shared" si="7"/>
        <v>0</v>
      </c>
      <c r="P66" s="170"/>
      <c r="Q66" s="171">
        <f t="shared" si="8"/>
        <v>40257</v>
      </c>
      <c r="R66" s="171" t="b">
        <f t="shared" si="9"/>
        <v>0</v>
      </c>
      <c r="S66" s="167">
        <f>$S$60-SUM($K$60:K66)</f>
        <v>10285000000</v>
      </c>
      <c r="T66" s="167">
        <f>$T$60-SUM($L$60:L66)</f>
        <v>781200000</v>
      </c>
      <c r="U66" s="167">
        <f>$U$60-SUM($M$60:M66)</f>
        <v>439200000</v>
      </c>
      <c r="V66" s="167">
        <f>$V$60-SUM($N$60:N66)</f>
        <v>548450000</v>
      </c>
      <c r="W66" s="170"/>
      <c r="X66" s="170"/>
      <c r="Y66" s="170"/>
      <c r="Z66" s="171"/>
      <c r="AA66" s="173"/>
      <c r="AB66" s="173"/>
      <c r="AC66" s="173"/>
      <c r="AD66" s="173"/>
      <c r="AE66" s="173"/>
      <c r="AF66" s="173"/>
      <c r="AG66" s="173"/>
      <c r="AH66" s="173"/>
      <c r="AI66" s="173"/>
      <c r="AJ66" s="173"/>
      <c r="AK66" s="173"/>
      <c r="AL66" s="173"/>
      <c r="AM66" s="173"/>
      <c r="AN66" s="173"/>
      <c r="AO66" s="173"/>
      <c r="AP66" s="173"/>
      <c r="AQ66" s="173"/>
      <c r="AR66" s="170"/>
      <c r="AS66" s="170"/>
      <c r="AT66" s="170"/>
      <c r="AU66" s="170"/>
      <c r="AV66" s="170"/>
    </row>
    <row r="67" spans="1:48">
      <c r="A67" s="477">
        <v>40288</v>
      </c>
      <c r="B67" s="478" t="b">
        <f t="shared" si="2"/>
        <v>0</v>
      </c>
      <c r="C67" s="470">
        <f t="shared" si="4"/>
        <v>0</v>
      </c>
      <c r="D67" s="174">
        <f t="shared" si="4"/>
        <v>0</v>
      </c>
      <c r="E67" s="174">
        <f t="shared" si="4"/>
        <v>0</v>
      </c>
      <c r="F67" s="471">
        <f t="shared" si="4"/>
        <v>0</v>
      </c>
      <c r="G67" s="465">
        <f t="shared" si="3"/>
        <v>0</v>
      </c>
      <c r="H67" s="171"/>
      <c r="I67" s="171">
        <f t="shared" si="5"/>
        <v>40288</v>
      </c>
      <c r="J67" s="171" t="b">
        <f t="shared" si="6"/>
        <v>0</v>
      </c>
      <c r="K67" s="491"/>
      <c r="L67" s="492"/>
      <c r="M67" s="492"/>
      <c r="N67" s="492"/>
      <c r="O67" s="487">
        <f t="shared" si="7"/>
        <v>0</v>
      </c>
      <c r="P67" s="170"/>
      <c r="Q67" s="171">
        <f t="shared" si="8"/>
        <v>40288</v>
      </c>
      <c r="R67" s="171" t="b">
        <f t="shared" si="9"/>
        <v>0</v>
      </c>
      <c r="S67" s="167">
        <f>$S$60-SUM($K$60:K67)</f>
        <v>10285000000</v>
      </c>
      <c r="T67" s="167">
        <f>$T$60-SUM($L$60:L67)</f>
        <v>781200000</v>
      </c>
      <c r="U67" s="167">
        <f>$U$60-SUM($M$60:M67)</f>
        <v>439200000</v>
      </c>
      <c r="V67" s="167">
        <f>$V$60-SUM($N$60:N67)</f>
        <v>548450000</v>
      </c>
      <c r="W67" s="170"/>
      <c r="X67" s="170"/>
      <c r="Y67" s="170"/>
      <c r="Z67" s="171"/>
      <c r="AA67" s="173"/>
      <c r="AB67" s="173"/>
      <c r="AC67" s="173"/>
      <c r="AD67" s="173"/>
      <c r="AE67" s="173"/>
      <c r="AF67" s="173"/>
      <c r="AG67" s="173"/>
      <c r="AH67" s="173"/>
      <c r="AI67" s="173"/>
      <c r="AJ67" s="173"/>
      <c r="AK67" s="173"/>
      <c r="AL67" s="173"/>
      <c r="AM67" s="173"/>
      <c r="AN67" s="173"/>
      <c r="AO67" s="173"/>
      <c r="AP67" s="173"/>
      <c r="AQ67" s="173"/>
      <c r="AR67" s="170"/>
      <c r="AS67" s="170"/>
      <c r="AT67" s="170"/>
      <c r="AU67" s="170"/>
      <c r="AV67" s="170"/>
    </row>
    <row r="68" spans="1:48">
      <c r="A68" s="477">
        <v>40318</v>
      </c>
      <c r="B68" s="478" t="b">
        <f t="shared" si="2"/>
        <v>1</v>
      </c>
      <c r="C68" s="470">
        <f t="shared" si="4"/>
        <v>0</v>
      </c>
      <c r="D68" s="174">
        <f t="shared" si="4"/>
        <v>0</v>
      </c>
      <c r="E68" s="174">
        <f t="shared" si="4"/>
        <v>0</v>
      </c>
      <c r="F68" s="471">
        <f t="shared" si="4"/>
        <v>0</v>
      </c>
      <c r="G68" s="465">
        <f t="shared" si="3"/>
        <v>0</v>
      </c>
      <c r="H68" s="171"/>
      <c r="I68" s="171">
        <f t="shared" si="5"/>
        <v>40318</v>
      </c>
      <c r="J68" s="171" t="b">
        <f t="shared" si="6"/>
        <v>1</v>
      </c>
      <c r="K68" s="491"/>
      <c r="L68" s="492"/>
      <c r="M68" s="492"/>
      <c r="N68" s="492"/>
      <c r="O68" s="487">
        <f t="shared" si="7"/>
        <v>0</v>
      </c>
      <c r="P68" s="170"/>
      <c r="Q68" s="171">
        <f t="shared" si="8"/>
        <v>40318</v>
      </c>
      <c r="R68" s="171" t="b">
        <f t="shared" si="9"/>
        <v>1</v>
      </c>
      <c r="S68" s="167">
        <f>$S$60-SUM($K$60:K68)</f>
        <v>10285000000</v>
      </c>
      <c r="T68" s="167">
        <f>$T$60-SUM($L$60:L68)</f>
        <v>781200000</v>
      </c>
      <c r="U68" s="167">
        <f>$U$60-SUM($M$60:M68)</f>
        <v>439200000</v>
      </c>
      <c r="V68" s="167">
        <f>$V$60-SUM($N$60:N68)</f>
        <v>548450000</v>
      </c>
      <c r="W68" s="170"/>
      <c r="X68" s="170"/>
      <c r="Y68" s="170"/>
      <c r="Z68" s="171"/>
      <c r="AA68" s="173"/>
      <c r="AB68" s="173"/>
      <c r="AC68" s="173"/>
      <c r="AD68" s="173"/>
      <c r="AE68" s="173"/>
      <c r="AF68" s="173"/>
      <c r="AG68" s="173"/>
      <c r="AH68" s="173"/>
      <c r="AI68" s="173"/>
      <c r="AJ68" s="173"/>
      <c r="AK68" s="173"/>
      <c r="AL68" s="173"/>
      <c r="AM68" s="173"/>
      <c r="AN68" s="173"/>
      <c r="AO68" s="173"/>
      <c r="AP68" s="173"/>
      <c r="AQ68" s="173"/>
      <c r="AR68" s="170"/>
      <c r="AS68" s="170"/>
      <c r="AT68" s="170"/>
      <c r="AU68" s="170"/>
      <c r="AV68" s="170"/>
    </row>
    <row r="69" spans="1:48">
      <c r="A69" s="477">
        <v>40349</v>
      </c>
      <c r="B69" s="478" t="b">
        <f t="shared" si="2"/>
        <v>0</v>
      </c>
      <c r="C69" s="470">
        <f t="shared" si="4"/>
        <v>0</v>
      </c>
      <c r="D69" s="174">
        <f t="shared" si="4"/>
        <v>0</v>
      </c>
      <c r="E69" s="174">
        <f t="shared" si="4"/>
        <v>0</v>
      </c>
      <c r="F69" s="471">
        <f t="shared" si="4"/>
        <v>0</v>
      </c>
      <c r="G69" s="465">
        <f t="shared" si="3"/>
        <v>0</v>
      </c>
      <c r="H69" s="171"/>
      <c r="I69" s="171">
        <f t="shared" si="5"/>
        <v>40349</v>
      </c>
      <c r="J69" s="171" t="b">
        <f t="shared" si="6"/>
        <v>0</v>
      </c>
      <c r="K69" s="491"/>
      <c r="L69" s="492"/>
      <c r="M69" s="492"/>
      <c r="N69" s="492"/>
      <c r="O69" s="487">
        <f t="shared" si="7"/>
        <v>0</v>
      </c>
      <c r="P69" s="170"/>
      <c r="Q69" s="171">
        <f t="shared" si="8"/>
        <v>40349</v>
      </c>
      <c r="R69" s="171" t="b">
        <f t="shared" si="9"/>
        <v>0</v>
      </c>
      <c r="S69" s="167">
        <f>$S$60-SUM($K$60:K69)</f>
        <v>10285000000</v>
      </c>
      <c r="T69" s="167">
        <f>$T$60-SUM($L$60:L69)</f>
        <v>781200000</v>
      </c>
      <c r="U69" s="167">
        <f>$U$60-SUM($M$60:M69)</f>
        <v>439200000</v>
      </c>
      <c r="V69" s="167">
        <f>$V$60-SUM($N$60:N69)</f>
        <v>548450000</v>
      </c>
      <c r="W69" s="170"/>
      <c r="X69" s="170"/>
      <c r="Y69" s="170"/>
      <c r="Z69" s="171"/>
      <c r="AA69" s="173"/>
      <c r="AB69" s="173"/>
      <c r="AC69" s="173"/>
      <c r="AD69" s="173"/>
      <c r="AE69" s="173"/>
      <c r="AF69" s="173"/>
      <c r="AG69" s="173"/>
      <c r="AH69" s="173"/>
      <c r="AI69" s="173"/>
      <c r="AJ69" s="173"/>
      <c r="AK69" s="173"/>
      <c r="AL69" s="173"/>
      <c r="AM69" s="173"/>
      <c r="AN69" s="173"/>
      <c r="AO69" s="173"/>
      <c r="AP69" s="173"/>
      <c r="AQ69" s="173"/>
      <c r="AR69" s="170"/>
      <c r="AS69" s="170"/>
      <c r="AT69" s="170"/>
      <c r="AU69" s="170"/>
      <c r="AV69" s="170"/>
    </row>
    <row r="70" spans="1:48">
      <c r="A70" s="477">
        <v>40379</v>
      </c>
      <c r="B70" s="478" t="b">
        <f t="shared" si="2"/>
        <v>0</v>
      </c>
      <c r="C70" s="470">
        <f t="shared" si="4"/>
        <v>0</v>
      </c>
      <c r="D70" s="174">
        <f t="shared" si="4"/>
        <v>0</v>
      </c>
      <c r="E70" s="174">
        <f t="shared" si="4"/>
        <v>0</v>
      </c>
      <c r="F70" s="471">
        <f t="shared" si="4"/>
        <v>0</v>
      </c>
      <c r="G70" s="465">
        <f t="shared" si="3"/>
        <v>0</v>
      </c>
      <c r="H70" s="171"/>
      <c r="I70" s="171">
        <f t="shared" si="5"/>
        <v>40379</v>
      </c>
      <c r="J70" s="171" t="b">
        <f t="shared" si="6"/>
        <v>0</v>
      </c>
      <c r="K70" s="491"/>
      <c r="L70" s="492"/>
      <c r="M70" s="492"/>
      <c r="N70" s="492"/>
      <c r="O70" s="487">
        <f t="shared" si="7"/>
        <v>0</v>
      </c>
      <c r="P70" s="170"/>
      <c r="Q70" s="171">
        <f t="shared" si="8"/>
        <v>40379</v>
      </c>
      <c r="R70" s="171" t="b">
        <f t="shared" si="9"/>
        <v>0</v>
      </c>
      <c r="S70" s="167">
        <f>$S$60-SUM($K$60:K70)</f>
        <v>10285000000</v>
      </c>
      <c r="T70" s="167">
        <f>$T$60-SUM($L$60:L70)</f>
        <v>781200000</v>
      </c>
      <c r="U70" s="167">
        <f>$U$60-SUM($M$60:M70)</f>
        <v>439200000</v>
      </c>
      <c r="V70" s="167">
        <f>$V$60-SUM($N$60:N70)</f>
        <v>548450000</v>
      </c>
      <c r="W70" s="170"/>
      <c r="X70" s="170"/>
      <c r="Y70" s="170"/>
      <c r="Z70" s="171"/>
      <c r="AA70" s="173"/>
      <c r="AB70" s="173"/>
      <c r="AC70" s="173"/>
      <c r="AD70" s="173"/>
      <c r="AE70" s="173"/>
      <c r="AF70" s="173"/>
      <c r="AG70" s="173"/>
      <c r="AH70" s="173"/>
      <c r="AI70" s="173"/>
      <c r="AJ70" s="173"/>
      <c r="AK70" s="173"/>
      <c r="AL70" s="173"/>
      <c r="AM70" s="173"/>
      <c r="AN70" s="173"/>
      <c r="AO70" s="173"/>
      <c r="AP70" s="173"/>
      <c r="AQ70" s="173"/>
      <c r="AR70" s="170"/>
      <c r="AS70" s="170"/>
      <c r="AT70" s="170"/>
      <c r="AU70" s="170"/>
      <c r="AV70" s="170"/>
    </row>
    <row r="71" spans="1:48">
      <c r="A71" s="477">
        <v>40410</v>
      </c>
      <c r="B71" s="478" t="b">
        <f t="shared" si="2"/>
        <v>1</v>
      </c>
      <c r="C71" s="470">
        <f t="shared" si="4"/>
        <v>0</v>
      </c>
      <c r="D71" s="174">
        <f t="shared" si="4"/>
        <v>0</v>
      </c>
      <c r="E71" s="174">
        <f t="shared" si="4"/>
        <v>0</v>
      </c>
      <c r="F71" s="471">
        <f t="shared" si="4"/>
        <v>0</v>
      </c>
      <c r="G71" s="465">
        <f t="shared" si="3"/>
        <v>0</v>
      </c>
      <c r="H71" s="171"/>
      <c r="I71" s="171">
        <f t="shared" si="5"/>
        <v>40410</v>
      </c>
      <c r="J71" s="171" t="b">
        <f t="shared" si="6"/>
        <v>1</v>
      </c>
      <c r="K71" s="491"/>
      <c r="L71" s="492"/>
      <c r="M71" s="492"/>
      <c r="N71" s="492"/>
      <c r="O71" s="487">
        <f t="shared" si="7"/>
        <v>0</v>
      </c>
      <c r="P71" s="170"/>
      <c r="Q71" s="171">
        <f t="shared" si="8"/>
        <v>40410</v>
      </c>
      <c r="R71" s="171" t="b">
        <f t="shared" si="9"/>
        <v>1</v>
      </c>
      <c r="S71" s="167">
        <f>$S$60-SUM($K$60:K71)</f>
        <v>10285000000</v>
      </c>
      <c r="T71" s="167">
        <f>$T$60-SUM($L$60:L71)</f>
        <v>781200000</v>
      </c>
      <c r="U71" s="167">
        <f>$U$60-SUM($M$60:M71)</f>
        <v>439200000</v>
      </c>
      <c r="V71" s="167">
        <f>$V$60-SUM($N$60:N71)</f>
        <v>548450000</v>
      </c>
      <c r="W71" s="170"/>
      <c r="X71" s="170"/>
      <c r="Y71" s="170"/>
      <c r="Z71" s="171"/>
      <c r="AA71" s="173"/>
      <c r="AB71" s="173"/>
      <c r="AC71" s="173"/>
      <c r="AD71" s="173"/>
      <c r="AE71" s="173"/>
      <c r="AF71" s="173"/>
      <c r="AG71" s="173"/>
      <c r="AH71" s="173"/>
      <c r="AI71" s="173"/>
      <c r="AJ71" s="173"/>
      <c r="AK71" s="173"/>
      <c r="AL71" s="173"/>
      <c r="AM71" s="173"/>
      <c r="AN71" s="173"/>
      <c r="AO71" s="173"/>
      <c r="AP71" s="173"/>
      <c r="AQ71" s="173"/>
      <c r="AR71" s="170"/>
      <c r="AS71" s="170"/>
      <c r="AT71" s="170"/>
      <c r="AU71" s="170"/>
      <c r="AV71" s="170"/>
    </row>
    <row r="72" spans="1:48">
      <c r="A72" s="477">
        <v>40441</v>
      </c>
      <c r="B72" s="478" t="b">
        <f t="shared" si="2"/>
        <v>0</v>
      </c>
      <c r="C72" s="470">
        <f t="shared" si="4"/>
        <v>0</v>
      </c>
      <c r="D72" s="174">
        <f t="shared" si="4"/>
        <v>0</v>
      </c>
      <c r="E72" s="174">
        <f t="shared" si="4"/>
        <v>0</v>
      </c>
      <c r="F72" s="471">
        <f t="shared" si="4"/>
        <v>0</v>
      </c>
      <c r="G72" s="465">
        <f t="shared" si="3"/>
        <v>0</v>
      </c>
      <c r="H72" s="171"/>
      <c r="I72" s="171">
        <f t="shared" si="5"/>
        <v>40441</v>
      </c>
      <c r="J72" s="171" t="b">
        <f t="shared" si="6"/>
        <v>0</v>
      </c>
      <c r="K72" s="491"/>
      <c r="L72" s="492"/>
      <c r="M72" s="492"/>
      <c r="N72" s="492"/>
      <c r="O72" s="487">
        <f t="shared" si="7"/>
        <v>0</v>
      </c>
      <c r="P72" s="170"/>
      <c r="Q72" s="171">
        <f t="shared" si="8"/>
        <v>40441</v>
      </c>
      <c r="R72" s="171" t="b">
        <f t="shared" si="9"/>
        <v>0</v>
      </c>
      <c r="S72" s="167">
        <f>$S$60-SUM($K$60:K72)</f>
        <v>10285000000</v>
      </c>
      <c r="T72" s="167">
        <f>$T$60-SUM($L$60:L72)</f>
        <v>781200000</v>
      </c>
      <c r="U72" s="167">
        <f>$U$60-SUM($M$60:M72)</f>
        <v>439200000</v>
      </c>
      <c r="V72" s="167">
        <f>$V$60-SUM($N$60:N72)</f>
        <v>548450000</v>
      </c>
      <c r="W72" s="170"/>
      <c r="X72" s="170"/>
      <c r="Y72" s="170"/>
      <c r="Z72" s="171"/>
      <c r="AA72" s="173"/>
      <c r="AB72" s="173"/>
      <c r="AC72" s="173"/>
      <c r="AD72" s="173"/>
      <c r="AE72" s="173"/>
      <c r="AF72" s="173"/>
      <c r="AG72" s="173"/>
      <c r="AH72" s="173"/>
      <c r="AI72" s="173"/>
      <c r="AJ72" s="173"/>
      <c r="AK72" s="173"/>
      <c r="AL72" s="173"/>
      <c r="AM72" s="173"/>
      <c r="AN72" s="173"/>
      <c r="AO72" s="173"/>
      <c r="AP72" s="173"/>
      <c r="AQ72" s="173"/>
      <c r="AR72" s="170"/>
      <c r="AS72" s="170"/>
      <c r="AT72" s="170"/>
      <c r="AU72" s="170"/>
      <c r="AV72" s="170"/>
    </row>
    <row r="73" spans="1:48">
      <c r="A73" s="477">
        <v>40471</v>
      </c>
      <c r="B73" s="478" t="b">
        <f t="shared" si="2"/>
        <v>0</v>
      </c>
      <c r="C73" s="470">
        <f t="shared" si="4"/>
        <v>0</v>
      </c>
      <c r="D73" s="174">
        <f t="shared" si="4"/>
        <v>0</v>
      </c>
      <c r="E73" s="174">
        <f t="shared" si="4"/>
        <v>0</v>
      </c>
      <c r="F73" s="471">
        <f t="shared" si="4"/>
        <v>0</v>
      </c>
      <c r="G73" s="465">
        <f t="shared" si="3"/>
        <v>0</v>
      </c>
      <c r="H73" s="171"/>
      <c r="I73" s="171">
        <f t="shared" si="5"/>
        <v>40471</v>
      </c>
      <c r="J73" s="171" t="b">
        <f t="shared" si="6"/>
        <v>0</v>
      </c>
      <c r="K73" s="491"/>
      <c r="L73" s="492"/>
      <c r="M73" s="492"/>
      <c r="N73" s="492"/>
      <c r="O73" s="487">
        <f t="shared" si="7"/>
        <v>0</v>
      </c>
      <c r="P73" s="170"/>
      <c r="Q73" s="171">
        <f t="shared" si="8"/>
        <v>40471</v>
      </c>
      <c r="R73" s="171" t="b">
        <f t="shared" si="9"/>
        <v>0</v>
      </c>
      <c r="S73" s="167">
        <f>$S$60-SUM($K$60:K73)</f>
        <v>10285000000</v>
      </c>
      <c r="T73" s="167">
        <f>$T$60-SUM($L$60:L73)</f>
        <v>781200000</v>
      </c>
      <c r="U73" s="167">
        <f>$U$60-SUM($M$60:M73)</f>
        <v>439200000</v>
      </c>
      <c r="V73" s="167">
        <f>$V$60-SUM($N$60:N73)</f>
        <v>548450000</v>
      </c>
      <c r="W73" s="170"/>
      <c r="X73" s="170"/>
      <c r="Y73" s="170"/>
      <c r="Z73" s="171"/>
      <c r="AA73" s="173"/>
      <c r="AB73" s="173"/>
      <c r="AC73" s="173"/>
      <c r="AD73" s="173"/>
      <c r="AE73" s="173"/>
      <c r="AF73" s="173"/>
      <c r="AG73" s="173"/>
      <c r="AH73" s="173"/>
      <c r="AI73" s="173"/>
      <c r="AJ73" s="173"/>
      <c r="AK73" s="173"/>
      <c r="AL73" s="173"/>
      <c r="AM73" s="173"/>
      <c r="AN73" s="173"/>
      <c r="AO73" s="173"/>
      <c r="AP73" s="173"/>
      <c r="AQ73" s="173"/>
      <c r="AR73" s="170"/>
      <c r="AS73" s="170"/>
      <c r="AT73" s="170"/>
      <c r="AU73" s="170"/>
      <c r="AV73" s="170"/>
    </row>
    <row r="74" spans="1:48">
      <c r="A74" s="477">
        <v>40504</v>
      </c>
      <c r="B74" s="478" t="b">
        <f t="shared" si="2"/>
        <v>1</v>
      </c>
      <c r="C74" s="470">
        <f t="shared" si="4"/>
        <v>0</v>
      </c>
      <c r="D74" s="174">
        <f t="shared" si="4"/>
        <v>0</v>
      </c>
      <c r="E74" s="174">
        <f t="shared" si="4"/>
        <v>0</v>
      </c>
      <c r="F74" s="471">
        <f t="shared" si="4"/>
        <v>0</v>
      </c>
      <c r="G74" s="465">
        <f t="shared" si="3"/>
        <v>0</v>
      </c>
      <c r="H74" s="171"/>
      <c r="I74" s="171">
        <f t="shared" si="5"/>
        <v>40504</v>
      </c>
      <c r="J74" s="171" t="b">
        <f t="shared" si="6"/>
        <v>1</v>
      </c>
      <c r="K74" s="491">
        <v>10285000000</v>
      </c>
      <c r="L74" s="492">
        <v>781200000</v>
      </c>
      <c r="M74" s="492">
        <v>439200000</v>
      </c>
      <c r="N74" s="492">
        <v>548450000</v>
      </c>
      <c r="O74" s="487">
        <f t="shared" si="7"/>
        <v>12053850000</v>
      </c>
      <c r="P74" s="170"/>
      <c r="Q74" s="171">
        <f t="shared" si="8"/>
        <v>40504</v>
      </c>
      <c r="R74" s="171" t="b">
        <f t="shared" si="9"/>
        <v>1</v>
      </c>
      <c r="S74" s="167">
        <f>$S$60-SUM($K$60:K74)</f>
        <v>0</v>
      </c>
      <c r="T74" s="167">
        <f>$T$60-SUM($L$60:L74)</f>
        <v>0</v>
      </c>
      <c r="U74" s="167">
        <f>$U$60-SUM($M$60:M74)</f>
        <v>0</v>
      </c>
      <c r="V74" s="167">
        <f>$V$60-SUM($N$60:N74)</f>
        <v>0</v>
      </c>
      <c r="W74" s="170"/>
      <c r="X74" s="170"/>
      <c r="Y74" s="170"/>
      <c r="Z74" s="171"/>
      <c r="AA74" s="173"/>
      <c r="AB74" s="173"/>
      <c r="AC74" s="173"/>
      <c r="AD74" s="173"/>
      <c r="AE74" s="173"/>
      <c r="AF74" s="173"/>
      <c r="AG74" s="173"/>
      <c r="AH74" s="173"/>
      <c r="AI74" s="173"/>
      <c r="AJ74" s="173"/>
      <c r="AK74" s="173"/>
      <c r="AL74" s="173"/>
      <c r="AM74" s="173"/>
      <c r="AN74" s="173"/>
      <c r="AO74" s="173"/>
      <c r="AP74" s="173"/>
      <c r="AQ74" s="173"/>
      <c r="AR74" s="170"/>
      <c r="AS74" s="170"/>
      <c r="AT74" s="170"/>
      <c r="AU74" s="170"/>
      <c r="AV74" s="170"/>
    </row>
    <row r="75" spans="1:48">
      <c r="A75" s="477">
        <v>40532</v>
      </c>
      <c r="B75" s="478" t="b">
        <f t="shared" si="2"/>
        <v>0</v>
      </c>
      <c r="C75" s="470">
        <f t="shared" si="4"/>
        <v>0</v>
      </c>
      <c r="D75" s="174">
        <f t="shared" si="4"/>
        <v>0</v>
      </c>
      <c r="E75" s="174">
        <f t="shared" si="4"/>
        <v>0</v>
      </c>
      <c r="F75" s="471">
        <f t="shared" si="4"/>
        <v>0</v>
      </c>
      <c r="G75" s="465">
        <f t="shared" si="3"/>
        <v>0</v>
      </c>
      <c r="H75" s="171"/>
      <c r="I75" s="171">
        <f t="shared" si="5"/>
        <v>40532</v>
      </c>
      <c r="J75" s="171" t="b">
        <f t="shared" si="6"/>
        <v>0</v>
      </c>
      <c r="K75" s="491"/>
      <c r="L75" s="492"/>
      <c r="M75" s="492"/>
      <c r="N75" s="492"/>
      <c r="O75" s="487">
        <f t="shared" si="7"/>
        <v>0</v>
      </c>
      <c r="P75" s="170"/>
      <c r="Q75" s="171">
        <f t="shared" si="8"/>
        <v>40532</v>
      </c>
      <c r="R75" s="171" t="b">
        <f t="shared" si="9"/>
        <v>0</v>
      </c>
      <c r="S75" s="167">
        <f>$S$60-SUM($K$60:K75)</f>
        <v>0</v>
      </c>
      <c r="T75" s="167">
        <f>$T$60-SUM($L$60:L75)</f>
        <v>0</v>
      </c>
      <c r="U75" s="167">
        <f>$U$60-SUM($M$60:M75)</f>
        <v>0</v>
      </c>
      <c r="V75" s="167">
        <f>$V$60-SUM($N$60:N75)</f>
        <v>0</v>
      </c>
      <c r="W75" s="170"/>
      <c r="X75" s="170"/>
      <c r="Y75" s="170"/>
      <c r="Z75" s="171"/>
      <c r="AA75" s="173"/>
      <c r="AB75" s="173"/>
      <c r="AC75" s="173"/>
      <c r="AD75" s="173"/>
      <c r="AE75" s="173"/>
      <c r="AF75" s="173"/>
      <c r="AG75" s="173"/>
      <c r="AH75" s="173"/>
      <c r="AI75" s="173"/>
      <c r="AJ75" s="173"/>
      <c r="AK75" s="173"/>
      <c r="AL75" s="173"/>
      <c r="AM75" s="173"/>
      <c r="AN75" s="173"/>
      <c r="AO75" s="173"/>
      <c r="AP75" s="173"/>
      <c r="AQ75" s="173"/>
      <c r="AR75" s="170"/>
      <c r="AS75" s="170"/>
      <c r="AT75" s="170"/>
      <c r="AU75" s="170"/>
      <c r="AV75" s="170"/>
    </row>
    <row r="76" spans="1:48">
      <c r="A76" s="477">
        <v>40563</v>
      </c>
      <c r="B76" s="478" t="b">
        <f t="shared" si="2"/>
        <v>0</v>
      </c>
      <c r="C76" s="470">
        <f t="shared" si="4"/>
        <v>0</v>
      </c>
      <c r="D76" s="174">
        <f t="shared" si="4"/>
        <v>0</v>
      </c>
      <c r="E76" s="174">
        <f t="shared" si="4"/>
        <v>0</v>
      </c>
      <c r="F76" s="471">
        <f t="shared" si="4"/>
        <v>0</v>
      </c>
      <c r="G76" s="465">
        <f t="shared" si="3"/>
        <v>0</v>
      </c>
      <c r="H76" s="171"/>
      <c r="I76" s="171">
        <f t="shared" si="5"/>
        <v>40563</v>
      </c>
      <c r="J76" s="171" t="b">
        <f t="shared" si="6"/>
        <v>0</v>
      </c>
      <c r="K76" s="491"/>
      <c r="L76" s="492"/>
      <c r="M76" s="492"/>
      <c r="N76" s="492"/>
      <c r="O76" s="487">
        <f t="shared" si="7"/>
        <v>0</v>
      </c>
      <c r="P76" s="170"/>
      <c r="Q76" s="171">
        <f t="shared" si="8"/>
        <v>40563</v>
      </c>
      <c r="R76" s="171" t="b">
        <f t="shared" si="9"/>
        <v>0</v>
      </c>
      <c r="S76" s="167">
        <f>$S$60-SUM($K$60:K76)</f>
        <v>0</v>
      </c>
      <c r="T76" s="167">
        <f>$T$60-SUM($L$60:L76)</f>
        <v>0</v>
      </c>
      <c r="U76" s="167">
        <f>$U$60-SUM($M$60:M76)</f>
        <v>0</v>
      </c>
      <c r="V76" s="167">
        <f>$V$60-SUM($N$60:N76)</f>
        <v>0</v>
      </c>
      <c r="W76" s="170"/>
      <c r="X76" s="170"/>
      <c r="Y76" s="170"/>
      <c r="Z76" s="171"/>
      <c r="AA76" s="173"/>
      <c r="AB76" s="173"/>
      <c r="AC76" s="173"/>
      <c r="AD76" s="173"/>
      <c r="AE76" s="173"/>
      <c r="AF76" s="173"/>
      <c r="AG76" s="173"/>
      <c r="AH76" s="173"/>
      <c r="AI76" s="173"/>
      <c r="AJ76" s="173"/>
      <c r="AK76" s="173"/>
      <c r="AL76" s="173"/>
      <c r="AM76" s="173"/>
      <c r="AN76" s="173"/>
      <c r="AO76" s="173"/>
      <c r="AP76" s="173"/>
      <c r="AQ76" s="173"/>
      <c r="AR76" s="170"/>
      <c r="AS76" s="170"/>
      <c r="AT76" s="170"/>
      <c r="AU76" s="170"/>
      <c r="AV76" s="170"/>
    </row>
    <row r="77" spans="1:48">
      <c r="A77" s="477">
        <v>40594</v>
      </c>
      <c r="B77" s="478" t="b">
        <f t="shared" si="2"/>
        <v>1</v>
      </c>
      <c r="C77" s="470">
        <f t="shared" si="4"/>
        <v>0</v>
      </c>
      <c r="D77" s="174">
        <f t="shared" si="4"/>
        <v>0</v>
      </c>
      <c r="E77" s="174">
        <f t="shared" si="4"/>
        <v>0</v>
      </c>
      <c r="F77" s="471">
        <f t="shared" si="4"/>
        <v>0</v>
      </c>
      <c r="G77" s="465">
        <f t="shared" si="3"/>
        <v>0</v>
      </c>
      <c r="H77" s="171"/>
      <c r="I77" s="171">
        <f t="shared" si="5"/>
        <v>40594</v>
      </c>
      <c r="J77" s="171" t="b">
        <f t="shared" si="6"/>
        <v>1</v>
      </c>
      <c r="K77" s="491"/>
      <c r="L77" s="492"/>
      <c r="M77" s="492"/>
      <c r="N77" s="492"/>
      <c r="O77" s="487">
        <f t="shared" si="7"/>
        <v>0</v>
      </c>
      <c r="P77" s="170"/>
      <c r="Q77" s="171">
        <f t="shared" si="8"/>
        <v>40594</v>
      </c>
      <c r="R77" s="171" t="b">
        <f t="shared" si="9"/>
        <v>1</v>
      </c>
      <c r="S77" s="167">
        <f>$S$60-SUM($K$60:K77)</f>
        <v>0</v>
      </c>
      <c r="T77" s="167">
        <f>$T$60-SUM($L$60:L77)</f>
        <v>0</v>
      </c>
      <c r="U77" s="167">
        <f>$U$60-SUM($M$60:M77)</f>
        <v>0</v>
      </c>
      <c r="V77" s="167">
        <f>$V$60-SUM($N$60:N77)</f>
        <v>0</v>
      </c>
      <c r="W77" s="170"/>
      <c r="X77" s="170"/>
      <c r="Y77" s="170"/>
      <c r="Z77" s="171"/>
      <c r="AA77" s="173"/>
      <c r="AB77" s="173"/>
      <c r="AC77" s="173"/>
      <c r="AD77" s="173"/>
      <c r="AE77" s="173"/>
      <c r="AF77" s="173"/>
      <c r="AG77" s="173"/>
      <c r="AH77" s="173"/>
      <c r="AI77" s="173"/>
      <c r="AJ77" s="173"/>
      <c r="AK77" s="173"/>
      <c r="AL77" s="173"/>
      <c r="AM77" s="173"/>
      <c r="AN77" s="173"/>
      <c r="AO77" s="173"/>
      <c r="AP77" s="173"/>
      <c r="AQ77" s="173"/>
      <c r="AR77" s="170"/>
      <c r="AS77" s="170"/>
      <c r="AT77" s="170"/>
      <c r="AU77" s="170"/>
      <c r="AV77" s="170"/>
    </row>
    <row r="78" spans="1:48">
      <c r="A78" s="477">
        <v>40622</v>
      </c>
      <c r="B78" s="478" t="b">
        <f t="shared" si="2"/>
        <v>0</v>
      </c>
      <c r="C78" s="470">
        <f t="shared" si="4"/>
        <v>0</v>
      </c>
      <c r="D78" s="174">
        <f t="shared" si="4"/>
        <v>0</v>
      </c>
      <c r="E78" s="174">
        <f t="shared" si="4"/>
        <v>0</v>
      </c>
      <c r="F78" s="471">
        <f t="shared" si="4"/>
        <v>0</v>
      </c>
      <c r="G78" s="465">
        <f t="shared" si="3"/>
        <v>0</v>
      </c>
      <c r="H78" s="171"/>
      <c r="I78" s="171">
        <f t="shared" si="5"/>
        <v>40622</v>
      </c>
      <c r="J78" s="171" t="b">
        <f t="shared" si="6"/>
        <v>0</v>
      </c>
      <c r="K78" s="491"/>
      <c r="L78" s="492"/>
      <c r="M78" s="492"/>
      <c r="N78" s="492"/>
      <c r="O78" s="487">
        <f t="shared" si="7"/>
        <v>0</v>
      </c>
      <c r="P78" s="170"/>
      <c r="Q78" s="171">
        <f t="shared" si="8"/>
        <v>40622</v>
      </c>
      <c r="R78" s="171" t="b">
        <f t="shared" si="9"/>
        <v>0</v>
      </c>
      <c r="S78" s="167">
        <f>$S$60-SUM($K$60:K78)</f>
        <v>0</v>
      </c>
      <c r="T78" s="167">
        <f>$T$60-SUM($L$60:L78)</f>
        <v>0</v>
      </c>
      <c r="U78" s="167">
        <f>$U$60-SUM($M$60:M78)</f>
        <v>0</v>
      </c>
      <c r="V78" s="167">
        <f>$V$60-SUM($N$60:N78)</f>
        <v>0</v>
      </c>
      <c r="W78" s="170"/>
      <c r="X78" s="170"/>
      <c r="Y78" s="170"/>
      <c r="Z78" s="171"/>
      <c r="AA78" s="173"/>
      <c r="AB78" s="173"/>
      <c r="AC78" s="173"/>
      <c r="AD78" s="173"/>
      <c r="AE78" s="173"/>
      <c r="AF78" s="173"/>
      <c r="AG78" s="173"/>
      <c r="AH78" s="173"/>
      <c r="AI78" s="173"/>
      <c r="AJ78" s="173"/>
      <c r="AK78" s="173"/>
      <c r="AL78" s="173"/>
      <c r="AM78" s="173"/>
      <c r="AN78" s="173"/>
      <c r="AO78" s="173"/>
      <c r="AP78" s="173"/>
      <c r="AQ78" s="173"/>
      <c r="AR78" s="170"/>
      <c r="AS78" s="170"/>
      <c r="AT78" s="170"/>
      <c r="AU78" s="170"/>
      <c r="AV78" s="170"/>
    </row>
    <row r="79" spans="1:48">
      <c r="A79" s="477">
        <v>40653</v>
      </c>
      <c r="B79" s="478" t="b">
        <f t="shared" si="2"/>
        <v>0</v>
      </c>
      <c r="C79" s="470">
        <f t="shared" si="4"/>
        <v>0</v>
      </c>
      <c r="D79" s="174">
        <f t="shared" si="4"/>
        <v>0</v>
      </c>
      <c r="E79" s="174">
        <f t="shared" si="4"/>
        <v>0</v>
      </c>
      <c r="F79" s="471">
        <f t="shared" si="4"/>
        <v>0</v>
      </c>
      <c r="G79" s="465">
        <f t="shared" si="3"/>
        <v>0</v>
      </c>
      <c r="H79" s="171"/>
      <c r="I79" s="171">
        <f t="shared" si="5"/>
        <v>40653</v>
      </c>
      <c r="J79" s="171" t="b">
        <f t="shared" si="6"/>
        <v>0</v>
      </c>
      <c r="K79" s="491"/>
      <c r="L79" s="492"/>
      <c r="M79" s="492"/>
      <c r="N79" s="492"/>
      <c r="O79" s="487">
        <f t="shared" si="7"/>
        <v>0</v>
      </c>
      <c r="P79" s="170"/>
      <c r="Q79" s="171">
        <f t="shared" si="8"/>
        <v>40653</v>
      </c>
      <c r="R79" s="171" t="b">
        <f t="shared" si="9"/>
        <v>0</v>
      </c>
      <c r="S79" s="167">
        <f>$S$60-SUM($K$60:K79)</f>
        <v>0</v>
      </c>
      <c r="T79" s="167">
        <f>$T$60-SUM($L$60:L79)</f>
        <v>0</v>
      </c>
      <c r="U79" s="167">
        <f>$U$60-SUM($M$60:M79)</f>
        <v>0</v>
      </c>
      <c r="V79" s="167">
        <f>$V$60-SUM($N$60:N79)</f>
        <v>0</v>
      </c>
      <c r="W79" s="170"/>
      <c r="X79" s="170"/>
      <c r="Y79" s="170"/>
      <c r="Z79" s="171"/>
      <c r="AA79" s="173"/>
      <c r="AB79" s="173"/>
      <c r="AC79" s="173"/>
      <c r="AD79" s="173"/>
      <c r="AE79" s="173"/>
      <c r="AF79" s="173"/>
      <c r="AG79" s="173"/>
      <c r="AH79" s="173"/>
      <c r="AI79" s="173"/>
      <c r="AJ79" s="173"/>
      <c r="AK79" s="173"/>
      <c r="AL79" s="173"/>
      <c r="AM79" s="173"/>
      <c r="AN79" s="173"/>
      <c r="AO79" s="173"/>
      <c r="AP79" s="173"/>
      <c r="AQ79" s="173"/>
      <c r="AR79" s="170"/>
      <c r="AS79" s="170"/>
      <c r="AT79" s="170"/>
      <c r="AU79" s="170"/>
      <c r="AV79" s="170"/>
    </row>
    <row r="80" spans="1:48">
      <c r="A80" s="477">
        <v>40683</v>
      </c>
      <c r="B80" s="478" t="b">
        <f t="shared" si="2"/>
        <v>1</v>
      </c>
      <c r="C80" s="470">
        <f t="shared" si="4"/>
        <v>0</v>
      </c>
      <c r="D80" s="174">
        <f t="shared" si="4"/>
        <v>0</v>
      </c>
      <c r="E80" s="174">
        <f t="shared" si="4"/>
        <v>0</v>
      </c>
      <c r="F80" s="471">
        <f t="shared" si="4"/>
        <v>0</v>
      </c>
      <c r="G80" s="465">
        <f t="shared" si="3"/>
        <v>0</v>
      </c>
      <c r="H80" s="171"/>
      <c r="I80" s="171">
        <f t="shared" si="5"/>
        <v>40683</v>
      </c>
      <c r="J80" s="171" t="b">
        <f t="shared" si="6"/>
        <v>1</v>
      </c>
      <c r="K80" s="491"/>
      <c r="L80" s="492"/>
      <c r="M80" s="492"/>
      <c r="N80" s="492"/>
      <c r="O80" s="487">
        <f t="shared" si="7"/>
        <v>0</v>
      </c>
      <c r="P80" s="170"/>
      <c r="Q80" s="171">
        <f t="shared" si="8"/>
        <v>40683</v>
      </c>
      <c r="R80" s="171" t="b">
        <f t="shared" si="9"/>
        <v>1</v>
      </c>
      <c r="S80" s="167">
        <f>$S$60-SUM($K$60:K80)</f>
        <v>0</v>
      </c>
      <c r="T80" s="167">
        <f>$T$60-SUM($L$60:L80)</f>
        <v>0</v>
      </c>
      <c r="U80" s="167">
        <f>$U$60-SUM($M$60:M80)</f>
        <v>0</v>
      </c>
      <c r="V80" s="167">
        <f>$V$60-SUM($N$60:N80)</f>
        <v>0</v>
      </c>
      <c r="W80" s="170"/>
      <c r="X80" s="170"/>
      <c r="Y80" s="170"/>
      <c r="Z80" s="171"/>
      <c r="AA80" s="173"/>
      <c r="AB80" s="173"/>
      <c r="AC80" s="173"/>
      <c r="AD80" s="173"/>
      <c r="AE80" s="173"/>
      <c r="AF80" s="173"/>
      <c r="AG80" s="173"/>
      <c r="AH80" s="173"/>
      <c r="AI80" s="173"/>
      <c r="AJ80" s="173"/>
      <c r="AK80" s="173"/>
      <c r="AL80" s="173"/>
      <c r="AM80" s="173"/>
      <c r="AN80" s="173"/>
      <c r="AO80" s="173"/>
      <c r="AP80" s="173"/>
      <c r="AQ80" s="173"/>
      <c r="AR80" s="170"/>
      <c r="AS80" s="170"/>
      <c r="AT80" s="170"/>
      <c r="AU80" s="170"/>
      <c r="AV80" s="170"/>
    </row>
    <row r="81" spans="1:48">
      <c r="A81" s="477">
        <v>40714</v>
      </c>
      <c r="B81" s="478" t="b">
        <f t="shared" si="2"/>
        <v>0</v>
      </c>
      <c r="C81" s="470">
        <f t="shared" ref="C81:F100" si="10">ROUND((C23-C24),2)</f>
        <v>0</v>
      </c>
      <c r="D81" s="174">
        <f t="shared" si="10"/>
        <v>0</v>
      </c>
      <c r="E81" s="174">
        <f t="shared" si="10"/>
        <v>0</v>
      </c>
      <c r="F81" s="471">
        <f t="shared" si="10"/>
        <v>0</v>
      </c>
      <c r="G81" s="465">
        <f t="shared" si="3"/>
        <v>0</v>
      </c>
      <c r="H81" s="171"/>
      <c r="I81" s="171">
        <f t="shared" si="5"/>
        <v>40714</v>
      </c>
      <c r="J81" s="171" t="b">
        <f t="shared" si="6"/>
        <v>0</v>
      </c>
      <c r="K81" s="491"/>
      <c r="L81" s="492"/>
      <c r="M81" s="492"/>
      <c r="N81" s="492"/>
      <c r="O81" s="487">
        <f t="shared" si="7"/>
        <v>0</v>
      </c>
      <c r="P81" s="170"/>
      <c r="Q81" s="171">
        <f t="shared" si="8"/>
        <v>40714</v>
      </c>
      <c r="R81" s="171" t="b">
        <f t="shared" si="9"/>
        <v>0</v>
      </c>
      <c r="S81" s="167">
        <f>$S$60-SUM($K$60:K81)</f>
        <v>0</v>
      </c>
      <c r="T81" s="167">
        <f>$T$60-SUM($L$60:L81)</f>
        <v>0</v>
      </c>
      <c r="U81" s="167">
        <f>$U$60-SUM($M$60:M81)</f>
        <v>0</v>
      </c>
      <c r="V81" s="167">
        <f>$V$60-SUM($N$60:N81)</f>
        <v>0</v>
      </c>
      <c r="W81" s="170"/>
      <c r="X81" s="170"/>
      <c r="Y81" s="170"/>
      <c r="Z81" s="171"/>
      <c r="AA81" s="173"/>
      <c r="AB81" s="173"/>
      <c r="AC81" s="173"/>
      <c r="AD81" s="173"/>
      <c r="AE81" s="173"/>
      <c r="AF81" s="173"/>
      <c r="AG81" s="173"/>
      <c r="AH81" s="173"/>
      <c r="AI81" s="173"/>
      <c r="AJ81" s="173"/>
      <c r="AK81" s="173"/>
      <c r="AL81" s="173"/>
      <c r="AM81" s="173"/>
      <c r="AN81" s="173"/>
      <c r="AO81" s="173"/>
      <c r="AP81" s="173"/>
      <c r="AQ81" s="173"/>
      <c r="AR81" s="170"/>
      <c r="AS81" s="170"/>
      <c r="AT81" s="170"/>
      <c r="AU81" s="170"/>
      <c r="AV81" s="170"/>
    </row>
    <row r="82" spans="1:48">
      <c r="A82" s="477">
        <v>40744</v>
      </c>
      <c r="B82" s="478" t="b">
        <f t="shared" si="2"/>
        <v>0</v>
      </c>
      <c r="C82" s="470">
        <f t="shared" si="10"/>
        <v>0</v>
      </c>
      <c r="D82" s="174">
        <f t="shared" si="10"/>
        <v>0</v>
      </c>
      <c r="E82" s="174">
        <f t="shared" si="10"/>
        <v>0</v>
      </c>
      <c r="F82" s="471">
        <f t="shared" si="10"/>
        <v>0</v>
      </c>
      <c r="G82" s="465">
        <f t="shared" si="3"/>
        <v>0</v>
      </c>
      <c r="H82" s="171"/>
      <c r="I82" s="171">
        <f t="shared" si="5"/>
        <v>40744</v>
      </c>
      <c r="J82" s="171" t="b">
        <f t="shared" si="6"/>
        <v>0</v>
      </c>
      <c r="K82" s="491"/>
      <c r="L82" s="492"/>
      <c r="M82" s="492"/>
      <c r="N82" s="492"/>
      <c r="O82" s="487">
        <f t="shared" si="7"/>
        <v>0</v>
      </c>
      <c r="P82" s="170"/>
      <c r="Q82" s="171">
        <f t="shared" si="8"/>
        <v>40744</v>
      </c>
      <c r="R82" s="171" t="b">
        <f t="shared" si="9"/>
        <v>0</v>
      </c>
      <c r="S82" s="167">
        <f>$S$60-SUM($K$60:K82)</f>
        <v>0</v>
      </c>
      <c r="T82" s="167">
        <f>$T$60-SUM($L$60:L82)</f>
        <v>0</v>
      </c>
      <c r="U82" s="167">
        <f>$U$60-SUM($M$60:M82)</f>
        <v>0</v>
      </c>
      <c r="V82" s="167">
        <f>$V$60-SUM($N$60:N82)</f>
        <v>0</v>
      </c>
      <c r="W82" s="170"/>
      <c r="X82" s="170"/>
      <c r="Y82" s="170"/>
      <c r="Z82" s="171"/>
      <c r="AA82" s="173"/>
      <c r="AB82" s="173"/>
      <c r="AC82" s="173"/>
      <c r="AD82" s="173"/>
      <c r="AE82" s="173"/>
      <c r="AF82" s="173"/>
      <c r="AG82" s="173"/>
      <c r="AH82" s="173"/>
      <c r="AI82" s="173"/>
      <c r="AJ82" s="173"/>
      <c r="AK82" s="173"/>
      <c r="AL82" s="173"/>
      <c r="AM82" s="173"/>
      <c r="AN82" s="173"/>
      <c r="AO82" s="173"/>
      <c r="AP82" s="173"/>
      <c r="AQ82" s="173"/>
      <c r="AR82" s="170"/>
      <c r="AS82" s="170"/>
      <c r="AT82" s="170"/>
      <c r="AU82" s="170"/>
      <c r="AV82" s="170"/>
    </row>
    <row r="83" spans="1:48">
      <c r="A83" s="477">
        <v>40775</v>
      </c>
      <c r="B83" s="478" t="b">
        <f t="shared" si="2"/>
        <v>1</v>
      </c>
      <c r="C83" s="470">
        <f t="shared" si="10"/>
        <v>0</v>
      </c>
      <c r="D83" s="174">
        <f t="shared" si="10"/>
        <v>0</v>
      </c>
      <c r="E83" s="174">
        <f t="shared" si="10"/>
        <v>0</v>
      </c>
      <c r="F83" s="471">
        <f t="shared" si="10"/>
        <v>0</v>
      </c>
      <c r="G83" s="465">
        <f t="shared" si="3"/>
        <v>0</v>
      </c>
      <c r="H83" s="171"/>
      <c r="I83" s="171">
        <f t="shared" si="5"/>
        <v>40775</v>
      </c>
      <c r="J83" s="171" t="b">
        <f t="shared" si="6"/>
        <v>1</v>
      </c>
      <c r="K83" s="491"/>
      <c r="L83" s="492"/>
      <c r="M83" s="492"/>
      <c r="N83" s="492"/>
      <c r="O83" s="487">
        <f t="shared" si="7"/>
        <v>0</v>
      </c>
      <c r="P83" s="170"/>
      <c r="Q83" s="171">
        <f t="shared" si="8"/>
        <v>40775</v>
      </c>
      <c r="R83" s="171" t="b">
        <f t="shared" si="9"/>
        <v>1</v>
      </c>
      <c r="S83" s="167">
        <f>$S$60-SUM($K$60:K83)</f>
        <v>0</v>
      </c>
      <c r="T83" s="167">
        <f>$T$60-SUM($L$60:L83)</f>
        <v>0</v>
      </c>
      <c r="U83" s="167">
        <f>$U$60-SUM($M$60:M83)</f>
        <v>0</v>
      </c>
      <c r="V83" s="167">
        <f>$V$60-SUM($N$60:N83)</f>
        <v>0</v>
      </c>
      <c r="W83" s="170"/>
      <c r="X83" s="170"/>
      <c r="Y83" s="170"/>
      <c r="Z83" s="171"/>
      <c r="AA83" s="173"/>
      <c r="AB83" s="173"/>
      <c r="AC83" s="173"/>
      <c r="AD83" s="173"/>
      <c r="AE83" s="173"/>
      <c r="AF83" s="173"/>
      <c r="AG83" s="173"/>
      <c r="AH83" s="173"/>
      <c r="AI83" s="173"/>
      <c r="AJ83" s="173"/>
      <c r="AK83" s="173"/>
      <c r="AL83" s="173"/>
      <c r="AM83" s="173"/>
      <c r="AN83" s="173"/>
      <c r="AO83" s="173"/>
      <c r="AP83" s="173"/>
      <c r="AQ83" s="173"/>
      <c r="AR83" s="170"/>
      <c r="AS83" s="170"/>
      <c r="AT83" s="170"/>
      <c r="AU83" s="170"/>
      <c r="AV83" s="170"/>
    </row>
    <row r="84" spans="1:48">
      <c r="A84" s="477">
        <v>40806</v>
      </c>
      <c r="B84" s="478" t="b">
        <f t="shared" si="2"/>
        <v>0</v>
      </c>
      <c r="C84" s="470">
        <f t="shared" si="10"/>
        <v>0</v>
      </c>
      <c r="D84" s="174">
        <f t="shared" si="10"/>
        <v>0</v>
      </c>
      <c r="E84" s="174">
        <f t="shared" si="10"/>
        <v>0</v>
      </c>
      <c r="F84" s="471">
        <f t="shared" si="10"/>
        <v>0</v>
      </c>
      <c r="G84" s="465">
        <f t="shared" si="3"/>
        <v>0</v>
      </c>
      <c r="H84" s="171"/>
      <c r="I84" s="171">
        <f t="shared" si="5"/>
        <v>40806</v>
      </c>
      <c r="J84" s="171" t="b">
        <f t="shared" si="6"/>
        <v>0</v>
      </c>
      <c r="K84" s="491"/>
      <c r="L84" s="492"/>
      <c r="M84" s="492"/>
      <c r="N84" s="492"/>
      <c r="O84" s="487">
        <f t="shared" si="7"/>
        <v>0</v>
      </c>
      <c r="P84" s="170"/>
      <c r="Q84" s="171">
        <f t="shared" si="8"/>
        <v>40806</v>
      </c>
      <c r="R84" s="171" t="b">
        <f t="shared" si="9"/>
        <v>0</v>
      </c>
      <c r="S84" s="167">
        <f>$S$60-SUM($K$60:K84)</f>
        <v>0</v>
      </c>
      <c r="T84" s="167">
        <f>$T$60-SUM($L$60:L84)</f>
        <v>0</v>
      </c>
      <c r="U84" s="167">
        <f>$U$60-SUM($M$60:M84)</f>
        <v>0</v>
      </c>
      <c r="V84" s="167">
        <f>$V$60-SUM($N$60:N84)</f>
        <v>0</v>
      </c>
      <c r="W84" s="170"/>
      <c r="X84" s="170"/>
      <c r="Y84" s="170"/>
      <c r="Z84" s="171"/>
      <c r="AA84" s="173"/>
      <c r="AB84" s="173"/>
      <c r="AC84" s="173"/>
      <c r="AD84" s="173"/>
      <c r="AE84" s="173"/>
      <c r="AF84" s="173"/>
      <c r="AG84" s="173"/>
      <c r="AH84" s="173"/>
      <c r="AI84" s="173"/>
      <c r="AJ84" s="173"/>
      <c r="AK84" s="173"/>
      <c r="AL84" s="173"/>
      <c r="AM84" s="173"/>
      <c r="AN84" s="173"/>
      <c r="AO84" s="173"/>
      <c r="AP84" s="173"/>
      <c r="AQ84" s="173"/>
      <c r="AR84" s="170"/>
      <c r="AS84" s="170"/>
      <c r="AT84" s="170"/>
      <c r="AU84" s="170"/>
      <c r="AV84" s="170"/>
    </row>
    <row r="85" spans="1:48">
      <c r="A85" s="477">
        <v>40836</v>
      </c>
      <c r="B85" s="478" t="b">
        <f t="shared" si="2"/>
        <v>0</v>
      </c>
      <c r="C85" s="470">
        <f t="shared" si="10"/>
        <v>0</v>
      </c>
      <c r="D85" s="174">
        <f t="shared" si="10"/>
        <v>0</v>
      </c>
      <c r="E85" s="174">
        <f t="shared" si="10"/>
        <v>0</v>
      </c>
      <c r="F85" s="471">
        <f t="shared" si="10"/>
        <v>0</v>
      </c>
      <c r="G85" s="465">
        <f t="shared" si="3"/>
        <v>0</v>
      </c>
      <c r="H85" s="171"/>
      <c r="I85" s="171">
        <f t="shared" si="5"/>
        <v>40836</v>
      </c>
      <c r="J85" s="171" t="b">
        <f t="shared" si="6"/>
        <v>0</v>
      </c>
      <c r="K85" s="491"/>
      <c r="L85" s="492"/>
      <c r="M85" s="492"/>
      <c r="N85" s="492"/>
      <c r="O85" s="487">
        <f t="shared" si="7"/>
        <v>0</v>
      </c>
      <c r="P85" s="170"/>
      <c r="Q85" s="171">
        <f t="shared" si="8"/>
        <v>40836</v>
      </c>
      <c r="R85" s="171" t="b">
        <f t="shared" si="9"/>
        <v>0</v>
      </c>
      <c r="S85" s="167">
        <f>$S$60-SUM($K$60:K85)</f>
        <v>0</v>
      </c>
      <c r="T85" s="167">
        <f>$T$60-SUM($L$60:L85)</f>
        <v>0</v>
      </c>
      <c r="U85" s="167">
        <f>$U$60-SUM($M$60:M85)</f>
        <v>0</v>
      </c>
      <c r="V85" s="167">
        <f>$V$60-SUM($N$60:N85)</f>
        <v>0</v>
      </c>
      <c r="W85" s="170"/>
      <c r="X85" s="170"/>
      <c r="Y85" s="170"/>
      <c r="Z85" s="171"/>
      <c r="AA85" s="173"/>
      <c r="AB85" s="173"/>
      <c r="AC85" s="173"/>
      <c r="AD85" s="173"/>
      <c r="AE85" s="173"/>
      <c r="AF85" s="173"/>
      <c r="AG85" s="173"/>
      <c r="AH85" s="173"/>
      <c r="AI85" s="173"/>
      <c r="AJ85" s="173"/>
      <c r="AK85" s="173"/>
      <c r="AL85" s="173"/>
      <c r="AM85" s="173"/>
      <c r="AN85" s="173"/>
      <c r="AO85" s="173"/>
      <c r="AP85" s="173"/>
      <c r="AQ85" s="173"/>
      <c r="AR85" s="170"/>
      <c r="AS85" s="170"/>
      <c r="AT85" s="170"/>
      <c r="AU85" s="170"/>
      <c r="AV85" s="170"/>
    </row>
    <row r="86" spans="1:48">
      <c r="A86" s="477">
        <v>40867</v>
      </c>
      <c r="B86" s="478" t="b">
        <f t="shared" si="2"/>
        <v>1</v>
      </c>
      <c r="C86" s="470">
        <f t="shared" si="10"/>
        <v>0</v>
      </c>
      <c r="D86" s="174">
        <f t="shared" si="10"/>
        <v>0</v>
      </c>
      <c r="E86" s="174">
        <f t="shared" si="10"/>
        <v>0</v>
      </c>
      <c r="F86" s="471">
        <f t="shared" si="10"/>
        <v>0</v>
      </c>
      <c r="G86" s="465">
        <f t="shared" si="3"/>
        <v>0</v>
      </c>
      <c r="H86" s="171"/>
      <c r="I86" s="171">
        <f t="shared" si="5"/>
        <v>40867</v>
      </c>
      <c r="J86" s="171" t="b">
        <f t="shared" si="6"/>
        <v>1</v>
      </c>
      <c r="K86" s="491"/>
      <c r="L86" s="492"/>
      <c r="M86" s="492"/>
      <c r="N86" s="492"/>
      <c r="O86" s="487">
        <f t="shared" si="7"/>
        <v>0</v>
      </c>
      <c r="P86" s="170"/>
      <c r="Q86" s="171">
        <f t="shared" si="8"/>
        <v>40867</v>
      </c>
      <c r="R86" s="171" t="b">
        <f t="shared" si="9"/>
        <v>1</v>
      </c>
      <c r="S86" s="167">
        <f>$S$60-SUM($K$60:K86)</f>
        <v>0</v>
      </c>
      <c r="T86" s="167">
        <f>$T$60-SUM($L$60:L86)</f>
        <v>0</v>
      </c>
      <c r="U86" s="167">
        <f>$U$60-SUM($M$60:M86)</f>
        <v>0</v>
      </c>
      <c r="V86" s="167">
        <f>$V$60-SUM($N$60:N86)</f>
        <v>0</v>
      </c>
      <c r="W86" s="170"/>
      <c r="X86" s="170"/>
      <c r="Y86" s="170"/>
      <c r="Z86" s="171"/>
      <c r="AA86" s="173"/>
      <c r="AB86" s="173"/>
      <c r="AC86" s="173"/>
      <c r="AD86" s="173"/>
      <c r="AE86" s="173"/>
      <c r="AF86" s="173"/>
      <c r="AG86" s="173"/>
      <c r="AH86" s="173"/>
      <c r="AI86" s="173"/>
      <c r="AJ86" s="173"/>
      <c r="AK86" s="173"/>
      <c r="AL86" s="173"/>
      <c r="AM86" s="173"/>
      <c r="AN86" s="173"/>
      <c r="AO86" s="173"/>
      <c r="AP86" s="173"/>
      <c r="AQ86" s="173"/>
      <c r="AR86" s="170"/>
      <c r="AS86" s="170"/>
      <c r="AT86" s="170"/>
      <c r="AU86" s="170"/>
      <c r="AV86" s="170"/>
    </row>
    <row r="87" spans="1:48">
      <c r="A87" s="477">
        <v>40897</v>
      </c>
      <c r="B87" s="478" t="b">
        <f t="shared" si="2"/>
        <v>0</v>
      </c>
      <c r="C87" s="470">
        <f t="shared" si="10"/>
        <v>0</v>
      </c>
      <c r="D87" s="174">
        <f t="shared" si="10"/>
        <v>0</v>
      </c>
      <c r="E87" s="174">
        <f t="shared" si="10"/>
        <v>0</v>
      </c>
      <c r="F87" s="471">
        <f t="shared" si="10"/>
        <v>0</v>
      </c>
      <c r="G87" s="465">
        <f t="shared" si="3"/>
        <v>0</v>
      </c>
      <c r="H87" s="171"/>
      <c r="I87" s="171">
        <f t="shared" si="5"/>
        <v>40897</v>
      </c>
      <c r="J87" s="171" t="b">
        <f t="shared" si="6"/>
        <v>0</v>
      </c>
      <c r="K87" s="491"/>
      <c r="L87" s="492"/>
      <c r="M87" s="492"/>
      <c r="N87" s="492"/>
      <c r="O87" s="487">
        <f t="shared" si="7"/>
        <v>0</v>
      </c>
      <c r="P87" s="170"/>
      <c r="Q87" s="171">
        <f t="shared" si="8"/>
        <v>40897</v>
      </c>
      <c r="R87" s="171" t="b">
        <f t="shared" si="9"/>
        <v>0</v>
      </c>
      <c r="S87" s="167">
        <f>$S$60-SUM($K$60:K87)</f>
        <v>0</v>
      </c>
      <c r="T87" s="167">
        <f>$T$60-SUM($L$60:L87)</f>
        <v>0</v>
      </c>
      <c r="U87" s="167">
        <f>$U$60-SUM($M$60:M87)</f>
        <v>0</v>
      </c>
      <c r="V87" s="167">
        <f>$V$60-SUM($N$60:N87)</f>
        <v>0</v>
      </c>
      <c r="W87" s="170"/>
      <c r="X87" s="170"/>
      <c r="Y87" s="170"/>
      <c r="Z87" s="171"/>
      <c r="AA87" s="173"/>
      <c r="AB87" s="173"/>
      <c r="AC87" s="173"/>
      <c r="AD87" s="173"/>
      <c r="AE87" s="173"/>
      <c r="AF87" s="173"/>
      <c r="AG87" s="173"/>
      <c r="AH87" s="173"/>
      <c r="AI87" s="173"/>
      <c r="AJ87" s="173"/>
      <c r="AK87" s="173"/>
      <c r="AL87" s="173"/>
      <c r="AM87" s="173"/>
      <c r="AN87" s="173"/>
      <c r="AO87" s="173"/>
      <c r="AP87" s="173"/>
      <c r="AQ87" s="173"/>
      <c r="AR87" s="170"/>
      <c r="AS87" s="170"/>
      <c r="AT87" s="170"/>
      <c r="AU87" s="170"/>
      <c r="AV87" s="170"/>
    </row>
    <row r="88" spans="1:48">
      <c r="A88" s="477">
        <v>40928</v>
      </c>
      <c r="B88" s="478" t="b">
        <f t="shared" si="2"/>
        <v>0</v>
      </c>
      <c r="C88" s="470">
        <f t="shared" si="10"/>
        <v>0</v>
      </c>
      <c r="D88" s="174">
        <f t="shared" si="10"/>
        <v>0</v>
      </c>
      <c r="E88" s="174">
        <f t="shared" si="10"/>
        <v>0</v>
      </c>
      <c r="F88" s="471">
        <f t="shared" si="10"/>
        <v>0</v>
      </c>
      <c r="G88" s="465">
        <f t="shared" si="3"/>
        <v>0</v>
      </c>
      <c r="H88" s="171"/>
      <c r="I88" s="171">
        <f t="shared" si="5"/>
        <v>40928</v>
      </c>
      <c r="J88" s="171" t="b">
        <f t="shared" si="6"/>
        <v>0</v>
      </c>
      <c r="K88" s="491"/>
      <c r="L88" s="492"/>
      <c r="M88" s="492"/>
      <c r="N88" s="492"/>
      <c r="O88" s="487">
        <f t="shared" si="7"/>
        <v>0</v>
      </c>
      <c r="P88" s="170"/>
      <c r="Q88" s="171">
        <f t="shared" si="8"/>
        <v>40928</v>
      </c>
      <c r="R88" s="171" t="b">
        <f t="shared" si="9"/>
        <v>0</v>
      </c>
      <c r="S88" s="167">
        <f>$S$60-SUM($K$60:K88)</f>
        <v>0</v>
      </c>
      <c r="T88" s="167">
        <f>$T$60-SUM($L$60:L88)</f>
        <v>0</v>
      </c>
      <c r="U88" s="167">
        <f>$U$60-SUM($M$60:M88)</f>
        <v>0</v>
      </c>
      <c r="V88" s="167">
        <f>$V$60-SUM($N$60:N88)</f>
        <v>0</v>
      </c>
      <c r="W88" s="170"/>
      <c r="X88" s="170"/>
      <c r="Y88" s="170"/>
      <c r="Z88" s="171"/>
      <c r="AA88" s="173"/>
      <c r="AB88" s="173"/>
      <c r="AC88" s="173"/>
      <c r="AD88" s="173"/>
      <c r="AE88" s="173"/>
      <c r="AF88" s="173"/>
      <c r="AG88" s="173"/>
      <c r="AH88" s="173"/>
      <c r="AI88" s="173"/>
      <c r="AJ88" s="173"/>
      <c r="AK88" s="173"/>
      <c r="AL88" s="173"/>
      <c r="AM88" s="173"/>
      <c r="AN88" s="173"/>
      <c r="AO88" s="173"/>
      <c r="AP88" s="173"/>
      <c r="AQ88" s="173"/>
      <c r="AR88" s="170"/>
      <c r="AS88" s="170"/>
      <c r="AT88" s="170"/>
      <c r="AU88" s="170"/>
      <c r="AV88" s="170"/>
    </row>
    <row r="89" spans="1:48">
      <c r="A89" s="477">
        <v>40959</v>
      </c>
      <c r="B89" s="478" t="b">
        <f t="shared" si="2"/>
        <v>1</v>
      </c>
      <c r="C89" s="470">
        <f t="shared" si="10"/>
        <v>0</v>
      </c>
      <c r="D89" s="174">
        <f t="shared" si="10"/>
        <v>0</v>
      </c>
      <c r="E89" s="174">
        <f t="shared" si="10"/>
        <v>0</v>
      </c>
      <c r="F89" s="471">
        <f t="shared" si="10"/>
        <v>0</v>
      </c>
      <c r="G89" s="465">
        <f t="shared" si="3"/>
        <v>0</v>
      </c>
      <c r="H89" s="171"/>
      <c r="I89" s="171">
        <f t="shared" si="5"/>
        <v>40959</v>
      </c>
      <c r="J89" s="171" t="b">
        <f t="shared" si="6"/>
        <v>1</v>
      </c>
      <c r="K89" s="491"/>
      <c r="L89" s="492"/>
      <c r="M89" s="492"/>
      <c r="N89" s="492"/>
      <c r="O89" s="487">
        <f t="shared" si="7"/>
        <v>0</v>
      </c>
      <c r="P89" s="170"/>
      <c r="Q89" s="171">
        <f t="shared" si="8"/>
        <v>40959</v>
      </c>
      <c r="R89" s="171" t="b">
        <f t="shared" si="9"/>
        <v>1</v>
      </c>
      <c r="S89" s="167">
        <f>$S$60-SUM($K$60:K89)</f>
        <v>0</v>
      </c>
      <c r="T89" s="167">
        <f>$T$60-SUM($L$60:L89)</f>
        <v>0</v>
      </c>
      <c r="U89" s="167">
        <f>$U$60-SUM($M$60:M89)</f>
        <v>0</v>
      </c>
      <c r="V89" s="167">
        <f>$V$60-SUM($N$60:N89)</f>
        <v>0</v>
      </c>
      <c r="W89" s="170"/>
      <c r="X89" s="170"/>
      <c r="Y89" s="170"/>
      <c r="Z89" s="171"/>
      <c r="AA89" s="173"/>
      <c r="AB89" s="173"/>
      <c r="AC89" s="173"/>
      <c r="AD89" s="173"/>
      <c r="AE89" s="173"/>
      <c r="AF89" s="173"/>
      <c r="AG89" s="173"/>
      <c r="AH89" s="173"/>
      <c r="AI89" s="173"/>
      <c r="AJ89" s="173"/>
      <c r="AK89" s="173"/>
      <c r="AL89" s="173"/>
      <c r="AM89" s="173"/>
      <c r="AN89" s="173"/>
      <c r="AO89" s="173"/>
      <c r="AP89" s="173"/>
      <c r="AQ89" s="173"/>
      <c r="AR89" s="170"/>
      <c r="AS89" s="170"/>
      <c r="AT89" s="170"/>
      <c r="AU89" s="170"/>
      <c r="AV89" s="170"/>
    </row>
    <row r="90" spans="1:48">
      <c r="A90" s="477">
        <v>40988</v>
      </c>
      <c r="B90" s="478" t="b">
        <f t="shared" si="2"/>
        <v>0</v>
      </c>
      <c r="C90" s="470">
        <f t="shared" si="10"/>
        <v>0</v>
      </c>
      <c r="D90" s="174">
        <f t="shared" si="10"/>
        <v>0</v>
      </c>
      <c r="E90" s="174">
        <f t="shared" si="10"/>
        <v>0</v>
      </c>
      <c r="F90" s="471">
        <f t="shared" si="10"/>
        <v>0</v>
      </c>
      <c r="G90" s="465">
        <f t="shared" si="3"/>
        <v>0</v>
      </c>
      <c r="H90" s="171"/>
      <c r="I90" s="171">
        <f t="shared" si="5"/>
        <v>40988</v>
      </c>
      <c r="J90" s="171" t="b">
        <f t="shared" si="6"/>
        <v>0</v>
      </c>
      <c r="K90" s="491"/>
      <c r="L90" s="492"/>
      <c r="M90" s="492"/>
      <c r="N90" s="492"/>
      <c r="O90" s="487">
        <f t="shared" si="7"/>
        <v>0</v>
      </c>
      <c r="P90" s="170"/>
      <c r="Q90" s="171">
        <f t="shared" si="8"/>
        <v>40988</v>
      </c>
      <c r="R90" s="171" t="b">
        <f t="shared" si="9"/>
        <v>0</v>
      </c>
      <c r="S90" s="167">
        <f>$S$60-SUM($K$60:K90)</f>
        <v>0</v>
      </c>
      <c r="T90" s="167">
        <f>$T$60-SUM($L$60:L90)</f>
        <v>0</v>
      </c>
      <c r="U90" s="167">
        <f>$U$60-SUM($M$60:M90)</f>
        <v>0</v>
      </c>
      <c r="V90" s="167">
        <f>$V$60-SUM($N$60:N90)</f>
        <v>0</v>
      </c>
      <c r="W90" s="170"/>
      <c r="X90" s="170"/>
      <c r="Y90" s="170"/>
      <c r="Z90" s="171"/>
      <c r="AA90" s="173"/>
      <c r="AB90" s="173"/>
      <c r="AC90" s="173"/>
      <c r="AD90" s="173"/>
      <c r="AE90" s="173"/>
      <c r="AF90" s="173"/>
      <c r="AG90" s="173"/>
      <c r="AH90" s="173"/>
      <c r="AI90" s="173"/>
      <c r="AJ90" s="173"/>
      <c r="AK90" s="173"/>
      <c r="AL90" s="173"/>
      <c r="AM90" s="173"/>
      <c r="AN90" s="173"/>
      <c r="AO90" s="173"/>
      <c r="AP90" s="173"/>
      <c r="AQ90" s="173"/>
      <c r="AR90" s="170"/>
      <c r="AS90" s="170"/>
      <c r="AT90" s="170"/>
      <c r="AU90" s="170"/>
      <c r="AV90" s="170"/>
    </row>
    <row r="91" spans="1:48">
      <c r="A91" s="477">
        <v>41019</v>
      </c>
      <c r="B91" s="478" t="b">
        <f t="shared" si="2"/>
        <v>0</v>
      </c>
      <c r="C91" s="470">
        <f t="shared" si="10"/>
        <v>0</v>
      </c>
      <c r="D91" s="174">
        <f t="shared" si="10"/>
        <v>0</v>
      </c>
      <c r="E91" s="174">
        <f t="shared" si="10"/>
        <v>0</v>
      </c>
      <c r="F91" s="471">
        <f t="shared" si="10"/>
        <v>0</v>
      </c>
      <c r="G91" s="465">
        <f t="shared" si="3"/>
        <v>0</v>
      </c>
      <c r="H91" s="171"/>
      <c r="I91" s="171">
        <f t="shared" si="5"/>
        <v>41019</v>
      </c>
      <c r="J91" s="171" t="b">
        <f t="shared" si="6"/>
        <v>0</v>
      </c>
      <c r="K91" s="491"/>
      <c r="L91" s="492"/>
      <c r="M91" s="492"/>
      <c r="N91" s="492"/>
      <c r="O91" s="487">
        <f t="shared" si="7"/>
        <v>0</v>
      </c>
      <c r="P91" s="170"/>
      <c r="Q91" s="171">
        <f t="shared" si="8"/>
        <v>41019</v>
      </c>
      <c r="R91" s="171" t="b">
        <f t="shared" si="9"/>
        <v>0</v>
      </c>
      <c r="S91" s="167">
        <f>$S$60-SUM($K$60:K91)</f>
        <v>0</v>
      </c>
      <c r="T91" s="167">
        <f>$T$60-SUM($L$60:L91)</f>
        <v>0</v>
      </c>
      <c r="U91" s="167">
        <f>$U$60-SUM($M$60:M91)</f>
        <v>0</v>
      </c>
      <c r="V91" s="167">
        <f>$V$60-SUM($N$60:N91)</f>
        <v>0</v>
      </c>
      <c r="W91" s="170"/>
      <c r="X91" s="170"/>
      <c r="Y91" s="170"/>
      <c r="Z91" s="171"/>
      <c r="AA91" s="173"/>
      <c r="AB91" s="173"/>
      <c r="AC91" s="173"/>
      <c r="AD91" s="173"/>
      <c r="AE91" s="173"/>
      <c r="AF91" s="173"/>
      <c r="AG91" s="173"/>
      <c r="AH91" s="173"/>
      <c r="AI91" s="173"/>
      <c r="AJ91" s="173"/>
      <c r="AK91" s="173"/>
      <c r="AL91" s="173"/>
      <c r="AM91" s="173"/>
      <c r="AN91" s="173"/>
      <c r="AO91" s="173"/>
      <c r="AP91" s="173"/>
      <c r="AQ91" s="173"/>
      <c r="AR91" s="170"/>
      <c r="AS91" s="170"/>
      <c r="AT91" s="170"/>
      <c r="AU91" s="170"/>
      <c r="AV91" s="170"/>
    </row>
    <row r="92" spans="1:48">
      <c r="A92" s="477">
        <v>41049</v>
      </c>
      <c r="B92" s="478" t="b">
        <f t="shared" si="2"/>
        <v>1</v>
      </c>
      <c r="C92" s="470">
        <f t="shared" si="10"/>
        <v>0</v>
      </c>
      <c r="D92" s="174">
        <f t="shared" si="10"/>
        <v>0</v>
      </c>
      <c r="E92" s="174">
        <f t="shared" si="10"/>
        <v>0</v>
      </c>
      <c r="F92" s="471">
        <f t="shared" si="10"/>
        <v>0</v>
      </c>
      <c r="G92" s="465">
        <f t="shared" si="3"/>
        <v>0</v>
      </c>
      <c r="H92" s="171"/>
      <c r="I92" s="171">
        <f t="shared" si="5"/>
        <v>41049</v>
      </c>
      <c r="J92" s="171" t="b">
        <f t="shared" si="6"/>
        <v>1</v>
      </c>
      <c r="K92" s="491"/>
      <c r="L92" s="492"/>
      <c r="M92" s="492"/>
      <c r="N92" s="492"/>
      <c r="O92" s="487">
        <f t="shared" si="7"/>
        <v>0</v>
      </c>
      <c r="P92" s="170"/>
      <c r="Q92" s="171">
        <f t="shared" si="8"/>
        <v>41049</v>
      </c>
      <c r="R92" s="171" t="b">
        <f t="shared" si="9"/>
        <v>1</v>
      </c>
      <c r="S92" s="167">
        <f>$S$60-SUM($K$60:K92)</f>
        <v>0</v>
      </c>
      <c r="T92" s="167">
        <f>$T$60-SUM($L$60:L92)</f>
        <v>0</v>
      </c>
      <c r="U92" s="167">
        <f>$U$60-SUM($M$60:M92)</f>
        <v>0</v>
      </c>
      <c r="V92" s="167">
        <f>$V$60-SUM($N$60:N92)</f>
        <v>0</v>
      </c>
      <c r="W92" s="170"/>
      <c r="X92" s="170"/>
      <c r="Y92" s="170"/>
      <c r="Z92" s="171"/>
      <c r="AA92" s="173"/>
      <c r="AB92" s="173"/>
      <c r="AC92" s="173"/>
      <c r="AD92" s="173"/>
      <c r="AE92" s="173"/>
      <c r="AF92" s="173"/>
      <c r="AG92" s="173"/>
      <c r="AH92" s="173"/>
      <c r="AI92" s="173"/>
      <c r="AJ92" s="173"/>
      <c r="AK92" s="173"/>
      <c r="AL92" s="173"/>
      <c r="AM92" s="173"/>
      <c r="AN92" s="173"/>
      <c r="AO92" s="173"/>
      <c r="AP92" s="173"/>
      <c r="AQ92" s="173"/>
      <c r="AR92" s="170"/>
      <c r="AS92" s="170"/>
      <c r="AT92" s="170"/>
      <c r="AU92" s="170"/>
      <c r="AV92" s="170"/>
    </row>
    <row r="93" spans="1:48">
      <c r="A93" s="477">
        <v>41080</v>
      </c>
      <c r="B93" s="478" t="b">
        <f t="shared" si="2"/>
        <v>0</v>
      </c>
      <c r="C93" s="470">
        <f t="shared" si="10"/>
        <v>0</v>
      </c>
      <c r="D93" s="174">
        <f t="shared" si="10"/>
        <v>0</v>
      </c>
      <c r="E93" s="174">
        <f t="shared" si="10"/>
        <v>0</v>
      </c>
      <c r="F93" s="471">
        <f t="shared" si="10"/>
        <v>0</v>
      </c>
      <c r="G93" s="465">
        <f t="shared" si="3"/>
        <v>0</v>
      </c>
      <c r="H93" s="171"/>
      <c r="I93" s="171">
        <f t="shared" si="5"/>
        <v>41080</v>
      </c>
      <c r="J93" s="171" t="b">
        <f t="shared" si="6"/>
        <v>0</v>
      </c>
      <c r="K93" s="491"/>
      <c r="L93" s="492"/>
      <c r="M93" s="492"/>
      <c r="N93" s="492"/>
      <c r="O93" s="487">
        <f t="shared" si="7"/>
        <v>0</v>
      </c>
      <c r="P93" s="170"/>
      <c r="Q93" s="171">
        <f t="shared" si="8"/>
        <v>41080</v>
      </c>
      <c r="R93" s="171" t="b">
        <f t="shared" si="9"/>
        <v>0</v>
      </c>
      <c r="S93" s="167">
        <f>$S$60-SUM($K$60:K93)</f>
        <v>0</v>
      </c>
      <c r="T93" s="167">
        <f>$T$60-SUM($L$60:L93)</f>
        <v>0</v>
      </c>
      <c r="U93" s="167">
        <f>$U$60-SUM($M$60:M93)</f>
        <v>0</v>
      </c>
      <c r="V93" s="167">
        <f>$V$60-SUM($N$60:N93)</f>
        <v>0</v>
      </c>
      <c r="W93" s="170"/>
      <c r="X93" s="170"/>
      <c r="Y93" s="170"/>
      <c r="Z93" s="171"/>
      <c r="AA93" s="173"/>
      <c r="AB93" s="173"/>
      <c r="AC93" s="173"/>
      <c r="AD93" s="173"/>
      <c r="AE93" s="173"/>
      <c r="AF93" s="173"/>
      <c r="AG93" s="173"/>
      <c r="AH93" s="173"/>
      <c r="AI93" s="173"/>
      <c r="AJ93" s="173"/>
      <c r="AK93" s="173"/>
      <c r="AL93" s="173"/>
      <c r="AM93" s="173"/>
      <c r="AN93" s="173"/>
      <c r="AO93" s="173"/>
      <c r="AP93" s="173"/>
      <c r="AQ93" s="173"/>
      <c r="AR93" s="170"/>
      <c r="AS93" s="170"/>
      <c r="AT93" s="170"/>
      <c r="AU93" s="170"/>
      <c r="AV93" s="170"/>
    </row>
    <row r="94" spans="1:48">
      <c r="A94" s="477">
        <v>41110</v>
      </c>
      <c r="B94" s="478" t="b">
        <f t="shared" si="2"/>
        <v>0</v>
      </c>
      <c r="C94" s="470">
        <f t="shared" si="10"/>
        <v>0</v>
      </c>
      <c r="D94" s="174">
        <f t="shared" si="10"/>
        <v>0</v>
      </c>
      <c r="E94" s="174">
        <f t="shared" si="10"/>
        <v>0</v>
      </c>
      <c r="F94" s="471">
        <f t="shared" si="10"/>
        <v>0</v>
      </c>
      <c r="G94" s="465">
        <f t="shared" si="3"/>
        <v>0</v>
      </c>
      <c r="H94" s="171"/>
      <c r="I94" s="171">
        <f t="shared" si="5"/>
        <v>41110</v>
      </c>
      <c r="J94" s="171" t="b">
        <f t="shared" si="6"/>
        <v>0</v>
      </c>
      <c r="K94" s="491"/>
      <c r="L94" s="492"/>
      <c r="M94" s="492"/>
      <c r="N94" s="492"/>
      <c r="O94" s="487">
        <f t="shared" si="7"/>
        <v>0</v>
      </c>
      <c r="P94" s="170"/>
      <c r="Q94" s="171">
        <f t="shared" si="8"/>
        <v>41110</v>
      </c>
      <c r="R94" s="171" t="b">
        <f t="shared" si="9"/>
        <v>0</v>
      </c>
      <c r="S94" s="167">
        <f>$S$60-SUM($K$60:K94)</f>
        <v>0</v>
      </c>
      <c r="T94" s="167">
        <f>$T$60-SUM($L$60:L94)</f>
        <v>0</v>
      </c>
      <c r="U94" s="167">
        <f>$U$60-SUM($M$60:M94)</f>
        <v>0</v>
      </c>
      <c r="V94" s="167">
        <f>$V$60-SUM($N$60:N94)</f>
        <v>0</v>
      </c>
      <c r="W94" s="170"/>
      <c r="X94" s="170"/>
      <c r="Y94" s="170"/>
      <c r="Z94" s="171"/>
      <c r="AA94" s="173"/>
      <c r="AB94" s="173"/>
      <c r="AC94" s="173"/>
      <c r="AD94" s="173"/>
      <c r="AE94" s="173"/>
      <c r="AF94" s="173"/>
      <c r="AG94" s="173"/>
      <c r="AH94" s="173"/>
      <c r="AI94" s="173"/>
      <c r="AJ94" s="173"/>
      <c r="AK94" s="173"/>
      <c r="AL94" s="173"/>
      <c r="AM94" s="173"/>
      <c r="AN94" s="173"/>
      <c r="AO94" s="173"/>
      <c r="AP94" s="173"/>
      <c r="AQ94" s="173"/>
      <c r="AR94" s="170"/>
      <c r="AS94" s="170"/>
      <c r="AT94" s="170"/>
      <c r="AU94" s="170"/>
      <c r="AV94" s="170"/>
    </row>
    <row r="95" spans="1:48">
      <c r="A95" s="477">
        <v>41141</v>
      </c>
      <c r="B95" s="478" t="b">
        <f t="shared" si="2"/>
        <v>1</v>
      </c>
      <c r="C95" s="470">
        <f t="shared" si="10"/>
        <v>0</v>
      </c>
      <c r="D95" s="174">
        <f t="shared" si="10"/>
        <v>0</v>
      </c>
      <c r="E95" s="174">
        <f t="shared" si="10"/>
        <v>0</v>
      </c>
      <c r="F95" s="471">
        <f t="shared" si="10"/>
        <v>0</v>
      </c>
      <c r="G95" s="465">
        <f t="shared" si="3"/>
        <v>0</v>
      </c>
      <c r="H95" s="171"/>
      <c r="I95" s="171">
        <f t="shared" si="5"/>
        <v>41141</v>
      </c>
      <c r="J95" s="171" t="b">
        <f t="shared" si="6"/>
        <v>1</v>
      </c>
      <c r="K95" s="491"/>
      <c r="L95" s="492"/>
      <c r="M95" s="492"/>
      <c r="N95" s="492"/>
      <c r="O95" s="487">
        <f t="shared" si="7"/>
        <v>0</v>
      </c>
      <c r="P95" s="170"/>
      <c r="Q95" s="171">
        <f t="shared" si="8"/>
        <v>41141</v>
      </c>
      <c r="R95" s="171" t="b">
        <f t="shared" si="9"/>
        <v>1</v>
      </c>
      <c r="S95" s="167">
        <f>$S$60-SUM($K$60:K95)</f>
        <v>0</v>
      </c>
      <c r="T95" s="167">
        <f>$T$60-SUM($L$60:L95)</f>
        <v>0</v>
      </c>
      <c r="U95" s="167">
        <f>$U$60-SUM($M$60:M95)</f>
        <v>0</v>
      </c>
      <c r="V95" s="167">
        <f>$V$60-SUM($N$60:N95)</f>
        <v>0</v>
      </c>
      <c r="W95" s="170"/>
      <c r="X95" s="170"/>
      <c r="Y95" s="170"/>
      <c r="Z95" s="171"/>
      <c r="AA95" s="173"/>
      <c r="AB95" s="173"/>
      <c r="AC95" s="173"/>
      <c r="AD95" s="173"/>
      <c r="AE95" s="173"/>
      <c r="AF95" s="173"/>
      <c r="AG95" s="173"/>
      <c r="AH95" s="173"/>
      <c r="AI95" s="173"/>
      <c r="AJ95" s="173"/>
      <c r="AK95" s="173"/>
      <c r="AL95" s="173"/>
      <c r="AM95" s="173"/>
      <c r="AN95" s="173"/>
      <c r="AO95" s="173"/>
      <c r="AP95" s="173"/>
      <c r="AQ95" s="173"/>
      <c r="AR95" s="170"/>
      <c r="AS95" s="170"/>
      <c r="AT95" s="170"/>
      <c r="AU95" s="170"/>
      <c r="AV95" s="170"/>
    </row>
    <row r="96" spans="1:48">
      <c r="A96" s="477">
        <v>41172</v>
      </c>
      <c r="B96" s="478" t="b">
        <f t="shared" si="2"/>
        <v>0</v>
      </c>
      <c r="C96" s="470">
        <f t="shared" si="10"/>
        <v>0</v>
      </c>
      <c r="D96" s="174">
        <f t="shared" si="10"/>
        <v>0</v>
      </c>
      <c r="E96" s="174">
        <f t="shared" si="10"/>
        <v>0</v>
      </c>
      <c r="F96" s="471">
        <f t="shared" si="10"/>
        <v>0</v>
      </c>
      <c r="G96" s="465">
        <f t="shared" si="3"/>
        <v>0</v>
      </c>
      <c r="H96" s="171"/>
      <c r="I96" s="171">
        <f t="shared" si="5"/>
        <v>41172</v>
      </c>
      <c r="J96" s="171" t="b">
        <f t="shared" si="6"/>
        <v>0</v>
      </c>
      <c r="K96" s="491"/>
      <c r="L96" s="492"/>
      <c r="M96" s="492"/>
      <c r="N96" s="492"/>
      <c r="O96" s="487">
        <f t="shared" si="7"/>
        <v>0</v>
      </c>
      <c r="P96" s="170"/>
      <c r="Q96" s="171">
        <f t="shared" si="8"/>
        <v>41172</v>
      </c>
      <c r="R96" s="171" t="b">
        <f t="shared" si="9"/>
        <v>0</v>
      </c>
      <c r="S96" s="167">
        <f>$S$60-SUM($K$60:K96)</f>
        <v>0</v>
      </c>
      <c r="T96" s="167">
        <f>$T$60-SUM($L$60:L96)</f>
        <v>0</v>
      </c>
      <c r="U96" s="167">
        <f>$U$60-SUM($M$60:M96)</f>
        <v>0</v>
      </c>
      <c r="V96" s="167">
        <f>$V$60-SUM($N$60:N96)</f>
        <v>0</v>
      </c>
      <c r="W96" s="170"/>
      <c r="X96" s="170"/>
      <c r="Y96" s="170"/>
      <c r="Z96" s="171"/>
      <c r="AA96" s="173"/>
      <c r="AB96" s="173"/>
      <c r="AC96" s="173"/>
      <c r="AD96" s="173"/>
      <c r="AE96" s="173"/>
      <c r="AF96" s="173"/>
      <c r="AG96" s="173"/>
      <c r="AH96" s="173"/>
      <c r="AI96" s="173"/>
      <c r="AJ96" s="173"/>
      <c r="AK96" s="173"/>
      <c r="AL96" s="173"/>
      <c r="AM96" s="173"/>
      <c r="AN96" s="173"/>
      <c r="AO96" s="173"/>
      <c r="AP96" s="173"/>
      <c r="AQ96" s="173"/>
      <c r="AR96" s="170"/>
      <c r="AS96" s="170"/>
      <c r="AT96" s="170"/>
      <c r="AU96" s="170"/>
      <c r="AV96" s="170"/>
    </row>
    <row r="97" spans="1:48">
      <c r="A97" s="477">
        <v>41202</v>
      </c>
      <c r="B97" s="478" t="b">
        <f t="shared" si="2"/>
        <v>0</v>
      </c>
      <c r="C97" s="470">
        <f t="shared" si="10"/>
        <v>0</v>
      </c>
      <c r="D97" s="174">
        <f t="shared" si="10"/>
        <v>0</v>
      </c>
      <c r="E97" s="174">
        <f t="shared" si="10"/>
        <v>0</v>
      </c>
      <c r="F97" s="471">
        <f t="shared" si="10"/>
        <v>0</v>
      </c>
      <c r="G97" s="465">
        <f t="shared" ref="G97:G111" si="11">ROUND((G39-G40),2)</f>
        <v>0</v>
      </c>
      <c r="H97" s="171"/>
      <c r="I97" s="171">
        <f t="shared" si="5"/>
        <v>41202</v>
      </c>
      <c r="J97" s="171" t="b">
        <f t="shared" si="6"/>
        <v>0</v>
      </c>
      <c r="K97" s="491"/>
      <c r="L97" s="492"/>
      <c r="M97" s="492"/>
      <c r="N97" s="492"/>
      <c r="O97" s="487">
        <f t="shared" si="7"/>
        <v>0</v>
      </c>
      <c r="P97" s="170"/>
      <c r="Q97" s="171">
        <f t="shared" si="8"/>
        <v>41202</v>
      </c>
      <c r="R97" s="171" t="b">
        <f t="shared" si="9"/>
        <v>0</v>
      </c>
      <c r="S97" s="167">
        <f>$S$60-SUM($K$60:K97)</f>
        <v>0</v>
      </c>
      <c r="T97" s="167">
        <f>$T$60-SUM($L$60:L97)</f>
        <v>0</v>
      </c>
      <c r="U97" s="167">
        <f>$U$60-SUM($M$60:M97)</f>
        <v>0</v>
      </c>
      <c r="V97" s="167">
        <f>$V$60-SUM($N$60:N97)</f>
        <v>0</v>
      </c>
      <c r="W97" s="170"/>
      <c r="X97" s="170"/>
      <c r="Y97" s="170"/>
      <c r="Z97" s="171"/>
      <c r="AA97" s="173"/>
      <c r="AB97" s="173"/>
      <c r="AC97" s="173"/>
      <c r="AD97" s="173"/>
      <c r="AE97" s="173"/>
      <c r="AF97" s="173"/>
      <c r="AG97" s="173"/>
      <c r="AH97" s="173"/>
      <c r="AI97" s="173"/>
      <c r="AJ97" s="173"/>
      <c r="AK97" s="173"/>
      <c r="AL97" s="173"/>
      <c r="AM97" s="173"/>
      <c r="AN97" s="173"/>
      <c r="AO97" s="173"/>
      <c r="AP97" s="173"/>
      <c r="AQ97" s="173"/>
      <c r="AR97" s="170"/>
      <c r="AS97" s="170"/>
      <c r="AT97" s="170"/>
      <c r="AU97" s="170"/>
      <c r="AV97" s="170"/>
    </row>
    <row r="98" spans="1:48">
      <c r="A98" s="477">
        <v>41233</v>
      </c>
      <c r="B98" s="478" t="b">
        <f t="shared" si="2"/>
        <v>1</v>
      </c>
      <c r="C98" s="470">
        <f t="shared" si="10"/>
        <v>0</v>
      </c>
      <c r="D98" s="174">
        <f t="shared" si="10"/>
        <v>0</v>
      </c>
      <c r="E98" s="174">
        <f t="shared" si="10"/>
        <v>0</v>
      </c>
      <c r="F98" s="471">
        <f t="shared" si="10"/>
        <v>0</v>
      </c>
      <c r="G98" s="465">
        <f t="shared" si="11"/>
        <v>0</v>
      </c>
      <c r="H98" s="171"/>
      <c r="I98" s="171">
        <f t="shared" si="5"/>
        <v>41233</v>
      </c>
      <c r="J98" s="171" t="b">
        <f t="shared" si="6"/>
        <v>1</v>
      </c>
      <c r="K98" s="491"/>
      <c r="L98" s="492"/>
      <c r="M98" s="492"/>
      <c r="N98" s="492"/>
      <c r="O98" s="487">
        <f t="shared" si="7"/>
        <v>0</v>
      </c>
      <c r="P98" s="170"/>
      <c r="Q98" s="171">
        <f t="shared" si="8"/>
        <v>41233</v>
      </c>
      <c r="R98" s="171" t="b">
        <f t="shared" si="9"/>
        <v>1</v>
      </c>
      <c r="S98" s="167">
        <f>$S$60-SUM($K$60:K98)</f>
        <v>0</v>
      </c>
      <c r="T98" s="167">
        <f>$T$60-SUM($L$60:L98)</f>
        <v>0</v>
      </c>
      <c r="U98" s="167">
        <f>$U$60-SUM($M$60:M98)</f>
        <v>0</v>
      </c>
      <c r="V98" s="167">
        <f>$V$60-SUM($N$60:N98)</f>
        <v>0</v>
      </c>
      <c r="W98" s="170"/>
      <c r="X98" s="170"/>
      <c r="Y98" s="170"/>
      <c r="Z98" s="171"/>
      <c r="AA98" s="173"/>
      <c r="AB98" s="173"/>
      <c r="AC98" s="173"/>
      <c r="AD98" s="173"/>
      <c r="AE98" s="173"/>
      <c r="AF98" s="173"/>
      <c r="AG98" s="173"/>
      <c r="AH98" s="173"/>
      <c r="AI98" s="173"/>
      <c r="AJ98" s="173"/>
      <c r="AK98" s="173"/>
      <c r="AL98" s="173"/>
      <c r="AM98" s="173"/>
      <c r="AN98" s="173"/>
      <c r="AO98" s="173"/>
      <c r="AP98" s="173"/>
      <c r="AQ98" s="173"/>
      <c r="AR98" s="170"/>
      <c r="AS98" s="170"/>
      <c r="AT98" s="170"/>
      <c r="AU98" s="170"/>
      <c r="AV98" s="170"/>
    </row>
    <row r="99" spans="1:48">
      <c r="A99" s="477">
        <v>41263</v>
      </c>
      <c r="B99" s="478" t="b">
        <f t="shared" si="2"/>
        <v>0</v>
      </c>
      <c r="C99" s="470">
        <f t="shared" si="10"/>
        <v>0</v>
      </c>
      <c r="D99" s="174">
        <f t="shared" si="10"/>
        <v>0</v>
      </c>
      <c r="E99" s="174">
        <f t="shared" si="10"/>
        <v>0</v>
      </c>
      <c r="F99" s="471">
        <f t="shared" si="10"/>
        <v>0</v>
      </c>
      <c r="G99" s="465">
        <f t="shared" si="11"/>
        <v>0</v>
      </c>
      <c r="H99" s="171"/>
      <c r="I99" s="171">
        <f t="shared" si="5"/>
        <v>41263</v>
      </c>
      <c r="J99" s="171" t="b">
        <f t="shared" si="6"/>
        <v>0</v>
      </c>
      <c r="K99" s="491"/>
      <c r="L99" s="492"/>
      <c r="M99" s="492"/>
      <c r="N99" s="492"/>
      <c r="O99" s="487">
        <f t="shared" si="7"/>
        <v>0</v>
      </c>
      <c r="P99" s="170"/>
      <c r="Q99" s="171">
        <f t="shared" si="8"/>
        <v>41263</v>
      </c>
      <c r="R99" s="171" t="b">
        <f t="shared" si="9"/>
        <v>0</v>
      </c>
      <c r="S99" s="167">
        <f>$S$60-SUM($K$60:K99)</f>
        <v>0</v>
      </c>
      <c r="T99" s="167">
        <f>$T$60-SUM($L$60:L99)</f>
        <v>0</v>
      </c>
      <c r="U99" s="167">
        <f>$U$60-SUM($M$60:M99)</f>
        <v>0</v>
      </c>
      <c r="V99" s="167">
        <f>$V$60-SUM($N$60:N99)</f>
        <v>0</v>
      </c>
      <c r="W99" s="170"/>
      <c r="X99" s="170"/>
      <c r="Y99" s="170"/>
      <c r="Z99" s="171"/>
      <c r="AA99" s="173"/>
      <c r="AB99" s="173"/>
      <c r="AC99" s="173"/>
      <c r="AD99" s="173"/>
      <c r="AE99" s="173"/>
      <c r="AF99" s="173"/>
      <c r="AG99" s="173"/>
      <c r="AH99" s="173"/>
      <c r="AI99" s="173"/>
      <c r="AJ99" s="173"/>
      <c r="AK99" s="173"/>
      <c r="AL99" s="173"/>
      <c r="AM99" s="173"/>
      <c r="AN99" s="173"/>
      <c r="AO99" s="173"/>
      <c r="AP99" s="173"/>
      <c r="AQ99" s="173"/>
      <c r="AR99" s="170"/>
      <c r="AS99" s="170"/>
      <c r="AT99" s="170"/>
      <c r="AU99" s="170"/>
      <c r="AV99" s="170"/>
    </row>
    <row r="100" spans="1:48">
      <c r="A100" s="477">
        <v>41294</v>
      </c>
      <c r="B100" s="478" t="b">
        <f t="shared" si="2"/>
        <v>0</v>
      </c>
      <c r="C100" s="470">
        <f t="shared" si="10"/>
        <v>0</v>
      </c>
      <c r="D100" s="174">
        <f t="shared" si="10"/>
        <v>0</v>
      </c>
      <c r="E100" s="174">
        <f t="shared" si="10"/>
        <v>0</v>
      </c>
      <c r="F100" s="471">
        <f t="shared" si="10"/>
        <v>0</v>
      </c>
      <c r="G100" s="465">
        <f t="shared" si="11"/>
        <v>0</v>
      </c>
      <c r="H100" s="59"/>
      <c r="I100" s="171">
        <f t="shared" si="5"/>
        <v>41294</v>
      </c>
      <c r="J100" s="171" t="b">
        <f t="shared" si="6"/>
        <v>0</v>
      </c>
      <c r="K100" s="491"/>
      <c r="L100" s="492"/>
      <c r="M100" s="492"/>
      <c r="N100" s="492"/>
      <c r="O100" s="487">
        <f t="shared" si="7"/>
        <v>0</v>
      </c>
      <c r="P100" s="170"/>
      <c r="Q100" s="171">
        <f t="shared" si="8"/>
        <v>41294</v>
      </c>
      <c r="R100" s="171" t="b">
        <f t="shared" si="9"/>
        <v>0</v>
      </c>
      <c r="S100" s="167">
        <f>$S$60-SUM($K$60:K100)</f>
        <v>0</v>
      </c>
      <c r="T100" s="167">
        <f>$T$60-SUM($L$60:L100)</f>
        <v>0</v>
      </c>
      <c r="U100" s="167">
        <f>$U$60-SUM($M$60:M100)</f>
        <v>0</v>
      </c>
      <c r="V100" s="167">
        <f>$V$60-SUM($N$60:N100)</f>
        <v>0</v>
      </c>
      <c r="W100" s="170"/>
      <c r="X100" s="170"/>
      <c r="Y100" s="170"/>
      <c r="Z100" s="59"/>
      <c r="AA100" s="173"/>
      <c r="AB100" s="173"/>
      <c r="AC100" s="173"/>
      <c r="AD100" s="173"/>
      <c r="AE100" s="173"/>
      <c r="AF100" s="173"/>
      <c r="AG100" s="173"/>
      <c r="AH100" s="173"/>
      <c r="AI100" s="173"/>
      <c r="AJ100" s="173"/>
      <c r="AK100" s="173"/>
      <c r="AL100" s="173"/>
      <c r="AM100" s="173"/>
      <c r="AN100" s="173"/>
      <c r="AO100" s="173"/>
      <c r="AP100" s="173"/>
      <c r="AQ100" s="173"/>
    </row>
    <row r="101" spans="1:48">
      <c r="A101" s="477">
        <v>41325</v>
      </c>
      <c r="B101" s="478" t="b">
        <f t="shared" si="2"/>
        <v>1</v>
      </c>
      <c r="C101" s="470">
        <f t="shared" ref="C101:F111" si="12">ROUND((C43-C44),2)</f>
        <v>0</v>
      </c>
      <c r="D101" s="174">
        <f t="shared" si="12"/>
        <v>0</v>
      </c>
      <c r="E101" s="174">
        <f t="shared" si="12"/>
        <v>0</v>
      </c>
      <c r="F101" s="471">
        <f t="shared" si="12"/>
        <v>0</v>
      </c>
      <c r="G101" s="465">
        <f t="shared" si="11"/>
        <v>0</v>
      </c>
      <c r="H101" s="59"/>
      <c r="I101" s="171">
        <f t="shared" si="5"/>
        <v>41325</v>
      </c>
      <c r="J101" s="171" t="b">
        <f t="shared" si="6"/>
        <v>1</v>
      </c>
      <c r="K101" s="491"/>
      <c r="L101" s="492"/>
      <c r="M101" s="492"/>
      <c r="N101" s="492"/>
      <c r="O101" s="487">
        <f t="shared" si="7"/>
        <v>0</v>
      </c>
      <c r="P101" s="170"/>
      <c r="Q101" s="171">
        <f t="shared" si="8"/>
        <v>41325</v>
      </c>
      <c r="R101" s="171" t="b">
        <f t="shared" si="9"/>
        <v>1</v>
      </c>
      <c r="S101" s="167">
        <f>$S$60-SUM($K$60:K101)</f>
        <v>0</v>
      </c>
      <c r="T101" s="167">
        <f>$T$60-SUM($L$60:L101)</f>
        <v>0</v>
      </c>
      <c r="U101" s="167">
        <f>$U$60-SUM($M$60:M101)</f>
        <v>0</v>
      </c>
      <c r="V101" s="167">
        <f>$V$60-SUM($N$60:N101)</f>
        <v>0</v>
      </c>
      <c r="W101" s="170"/>
      <c r="X101" s="170"/>
      <c r="Y101" s="170"/>
      <c r="Z101" s="59"/>
      <c r="AA101" s="173"/>
      <c r="AB101" s="173"/>
      <c r="AC101" s="173"/>
      <c r="AD101" s="173"/>
      <c r="AE101" s="173"/>
      <c r="AF101" s="173"/>
      <c r="AG101" s="173"/>
      <c r="AH101" s="173"/>
      <c r="AI101" s="173"/>
      <c r="AJ101" s="173"/>
      <c r="AK101" s="173"/>
      <c r="AL101" s="173"/>
      <c r="AM101" s="173"/>
      <c r="AN101" s="173"/>
      <c r="AO101" s="173"/>
      <c r="AP101" s="173"/>
      <c r="AQ101" s="173"/>
    </row>
    <row r="102" spans="1:48">
      <c r="A102" s="477">
        <v>41353</v>
      </c>
      <c r="B102" s="478" t="b">
        <f t="shared" ref="B102:B110" si="13">MOD(MONTH(A102)+1,3)=0</f>
        <v>0</v>
      </c>
      <c r="C102" s="470">
        <f t="shared" si="12"/>
        <v>0</v>
      </c>
      <c r="D102" s="174">
        <f t="shared" si="12"/>
        <v>0</v>
      </c>
      <c r="E102" s="174">
        <f t="shared" si="12"/>
        <v>0</v>
      </c>
      <c r="F102" s="471">
        <f t="shared" si="12"/>
        <v>0</v>
      </c>
      <c r="G102" s="465">
        <f t="shared" si="11"/>
        <v>0</v>
      </c>
      <c r="H102" s="59"/>
      <c r="I102" s="171">
        <f t="shared" si="5"/>
        <v>41353</v>
      </c>
      <c r="J102" s="171" t="b">
        <f t="shared" si="6"/>
        <v>0</v>
      </c>
      <c r="K102" s="491"/>
      <c r="L102" s="492"/>
      <c r="M102" s="492"/>
      <c r="N102" s="492"/>
      <c r="O102" s="487">
        <f t="shared" si="7"/>
        <v>0</v>
      </c>
      <c r="P102" s="170"/>
      <c r="Q102" s="171">
        <f t="shared" si="8"/>
        <v>41353</v>
      </c>
      <c r="R102" s="171" t="b">
        <f t="shared" si="9"/>
        <v>0</v>
      </c>
      <c r="S102" s="167">
        <f>$S$60-SUM($K$60:K102)</f>
        <v>0</v>
      </c>
      <c r="T102" s="167">
        <f>$T$60-SUM($L$60:L102)</f>
        <v>0</v>
      </c>
      <c r="U102" s="167">
        <f>$U$60-SUM($M$60:M102)</f>
        <v>0</v>
      </c>
      <c r="V102" s="167">
        <f>$V$60-SUM($N$60:N102)</f>
        <v>0</v>
      </c>
      <c r="W102" s="170"/>
      <c r="X102" s="170"/>
      <c r="Y102" s="170"/>
      <c r="Z102" s="59"/>
      <c r="AA102" s="173"/>
      <c r="AB102" s="173"/>
      <c r="AC102" s="173"/>
      <c r="AD102" s="173"/>
      <c r="AE102" s="173"/>
      <c r="AF102" s="173"/>
      <c r="AG102" s="173"/>
      <c r="AH102" s="173"/>
      <c r="AI102" s="173"/>
      <c r="AJ102" s="173"/>
      <c r="AK102" s="173"/>
      <c r="AL102" s="173"/>
      <c r="AM102" s="173"/>
      <c r="AN102" s="173"/>
      <c r="AO102" s="173"/>
      <c r="AP102" s="173"/>
      <c r="AQ102" s="173"/>
    </row>
    <row r="103" spans="1:48">
      <c r="A103" s="477">
        <v>41384</v>
      </c>
      <c r="B103" s="478" t="b">
        <f t="shared" si="13"/>
        <v>0</v>
      </c>
      <c r="C103" s="470">
        <f t="shared" si="12"/>
        <v>0</v>
      </c>
      <c r="D103" s="174">
        <f t="shared" si="12"/>
        <v>0</v>
      </c>
      <c r="E103" s="174">
        <f t="shared" si="12"/>
        <v>0</v>
      </c>
      <c r="F103" s="471">
        <f t="shared" si="12"/>
        <v>0</v>
      </c>
      <c r="G103" s="465">
        <f t="shared" si="11"/>
        <v>0</v>
      </c>
      <c r="H103" s="59"/>
      <c r="I103" s="171">
        <f t="shared" si="5"/>
        <v>41384</v>
      </c>
      <c r="J103" s="171" t="b">
        <f t="shared" si="6"/>
        <v>0</v>
      </c>
      <c r="K103" s="491"/>
      <c r="L103" s="492"/>
      <c r="M103" s="492"/>
      <c r="N103" s="492"/>
      <c r="O103" s="487">
        <f t="shared" si="7"/>
        <v>0</v>
      </c>
      <c r="P103" s="170"/>
      <c r="Q103" s="171">
        <f t="shared" si="8"/>
        <v>41384</v>
      </c>
      <c r="R103" s="171" t="b">
        <f t="shared" si="9"/>
        <v>0</v>
      </c>
      <c r="S103" s="167">
        <f>$S$60-SUM($K$60:K103)</f>
        <v>0</v>
      </c>
      <c r="T103" s="167">
        <f>$T$60-SUM($L$60:L103)</f>
        <v>0</v>
      </c>
      <c r="U103" s="167">
        <f>$U$60-SUM($M$60:M103)</f>
        <v>0</v>
      </c>
      <c r="V103" s="167">
        <f>$V$60-SUM($N$60:N103)</f>
        <v>0</v>
      </c>
      <c r="W103" s="170"/>
      <c r="X103" s="170"/>
      <c r="Y103" s="170"/>
      <c r="Z103" s="59"/>
      <c r="AA103" s="173"/>
      <c r="AB103" s="173"/>
      <c r="AC103" s="173"/>
      <c r="AD103" s="173"/>
      <c r="AE103" s="173"/>
      <c r="AF103" s="173"/>
      <c r="AG103" s="173"/>
      <c r="AH103" s="173"/>
      <c r="AI103" s="173"/>
      <c r="AJ103" s="173"/>
      <c r="AK103" s="173"/>
      <c r="AL103" s="173"/>
      <c r="AM103" s="173"/>
      <c r="AN103" s="173"/>
      <c r="AO103" s="173"/>
      <c r="AP103" s="173"/>
      <c r="AQ103" s="173"/>
    </row>
    <row r="104" spans="1:48">
      <c r="A104" s="477">
        <v>41414</v>
      </c>
      <c r="B104" s="478" t="b">
        <f t="shared" si="13"/>
        <v>1</v>
      </c>
      <c r="C104" s="470">
        <f t="shared" si="12"/>
        <v>0</v>
      </c>
      <c r="D104" s="174">
        <f t="shared" si="12"/>
        <v>0</v>
      </c>
      <c r="E104" s="174">
        <f t="shared" si="12"/>
        <v>0</v>
      </c>
      <c r="F104" s="471">
        <f t="shared" si="12"/>
        <v>0</v>
      </c>
      <c r="G104" s="465">
        <f t="shared" si="11"/>
        <v>0</v>
      </c>
      <c r="H104" s="59"/>
      <c r="I104" s="171">
        <f t="shared" si="5"/>
        <v>41414</v>
      </c>
      <c r="J104" s="171" t="b">
        <f t="shared" si="6"/>
        <v>1</v>
      </c>
      <c r="K104" s="491"/>
      <c r="L104" s="492"/>
      <c r="M104" s="492"/>
      <c r="N104" s="492"/>
      <c r="O104" s="487">
        <f t="shared" si="7"/>
        <v>0</v>
      </c>
      <c r="P104" s="170"/>
      <c r="Q104" s="171">
        <f t="shared" si="8"/>
        <v>41414</v>
      </c>
      <c r="R104" s="171" t="b">
        <f t="shared" si="9"/>
        <v>1</v>
      </c>
      <c r="S104" s="167">
        <f>$S$60-SUM($K$60:K104)</f>
        <v>0</v>
      </c>
      <c r="T104" s="167">
        <f>$T$60-SUM($L$60:L104)</f>
        <v>0</v>
      </c>
      <c r="U104" s="167">
        <f>$U$60-SUM($M$60:M104)</f>
        <v>0</v>
      </c>
      <c r="V104" s="167">
        <f>$V$60-SUM($N$60:N104)</f>
        <v>0</v>
      </c>
      <c r="W104" s="170"/>
      <c r="X104" s="170"/>
      <c r="Y104" s="170"/>
      <c r="Z104" s="59"/>
      <c r="AA104" s="173"/>
      <c r="AB104" s="173"/>
      <c r="AC104" s="173"/>
      <c r="AD104" s="173"/>
      <c r="AE104" s="173"/>
      <c r="AF104" s="173"/>
      <c r="AG104" s="173"/>
      <c r="AH104" s="173"/>
      <c r="AI104" s="173"/>
      <c r="AJ104" s="173"/>
      <c r="AK104" s="173"/>
      <c r="AL104" s="173"/>
      <c r="AM104" s="173"/>
      <c r="AN104" s="173"/>
      <c r="AO104" s="173"/>
      <c r="AP104" s="173"/>
      <c r="AQ104" s="173"/>
    </row>
    <row r="105" spans="1:48">
      <c r="A105" s="477">
        <v>41445</v>
      </c>
      <c r="B105" s="478" t="b">
        <f t="shared" si="13"/>
        <v>0</v>
      </c>
      <c r="C105" s="470">
        <f t="shared" si="12"/>
        <v>0</v>
      </c>
      <c r="D105" s="174">
        <f t="shared" si="12"/>
        <v>0</v>
      </c>
      <c r="E105" s="174">
        <f t="shared" si="12"/>
        <v>0</v>
      </c>
      <c r="F105" s="471">
        <f t="shared" si="12"/>
        <v>0</v>
      </c>
      <c r="G105" s="465">
        <f t="shared" si="11"/>
        <v>0</v>
      </c>
      <c r="H105" s="59"/>
      <c r="I105" s="171">
        <f t="shared" si="5"/>
        <v>41445</v>
      </c>
      <c r="J105" s="171" t="b">
        <f t="shared" si="6"/>
        <v>0</v>
      </c>
      <c r="K105" s="491"/>
      <c r="L105" s="492"/>
      <c r="M105" s="492"/>
      <c r="N105" s="492"/>
      <c r="O105" s="487">
        <f t="shared" si="7"/>
        <v>0</v>
      </c>
      <c r="P105" s="170"/>
      <c r="Q105" s="171">
        <f t="shared" si="8"/>
        <v>41445</v>
      </c>
      <c r="R105" s="171" t="b">
        <f t="shared" si="9"/>
        <v>0</v>
      </c>
      <c r="S105" s="167">
        <f>$S$60-SUM($K$60:K105)</f>
        <v>0</v>
      </c>
      <c r="T105" s="167">
        <f>$T$60-SUM($L$60:L105)</f>
        <v>0</v>
      </c>
      <c r="U105" s="167">
        <f>$U$60-SUM($M$60:M105)</f>
        <v>0</v>
      </c>
      <c r="V105" s="167">
        <f>$V$60-SUM($N$60:N105)</f>
        <v>0</v>
      </c>
      <c r="W105" s="170"/>
      <c r="X105" s="170"/>
      <c r="Y105" s="170"/>
      <c r="Z105" s="59"/>
      <c r="AA105" s="173"/>
      <c r="AB105" s="173"/>
      <c r="AC105" s="173"/>
      <c r="AD105" s="173"/>
      <c r="AE105" s="173"/>
      <c r="AF105" s="173"/>
      <c r="AG105" s="173"/>
      <c r="AH105" s="173"/>
      <c r="AI105" s="173"/>
      <c r="AJ105" s="173"/>
      <c r="AK105" s="173"/>
      <c r="AL105" s="173"/>
      <c r="AM105" s="173"/>
      <c r="AN105" s="173"/>
      <c r="AO105" s="173"/>
      <c r="AP105" s="173"/>
      <c r="AQ105" s="173"/>
    </row>
    <row r="106" spans="1:48">
      <c r="A106" s="477">
        <v>41475</v>
      </c>
      <c r="B106" s="478" t="b">
        <f t="shared" si="13"/>
        <v>0</v>
      </c>
      <c r="C106" s="470">
        <f t="shared" si="12"/>
        <v>0</v>
      </c>
      <c r="D106" s="174">
        <f t="shared" si="12"/>
        <v>0</v>
      </c>
      <c r="E106" s="174">
        <f t="shared" si="12"/>
        <v>0</v>
      </c>
      <c r="F106" s="471">
        <f t="shared" si="12"/>
        <v>0</v>
      </c>
      <c r="G106" s="465">
        <f t="shared" si="11"/>
        <v>0</v>
      </c>
      <c r="H106" s="59"/>
      <c r="I106" s="171">
        <f t="shared" si="5"/>
        <v>41475</v>
      </c>
      <c r="J106" s="171" t="b">
        <f t="shared" si="6"/>
        <v>0</v>
      </c>
      <c r="K106" s="491"/>
      <c r="L106" s="492"/>
      <c r="M106" s="492"/>
      <c r="N106" s="492"/>
      <c r="O106" s="487">
        <f t="shared" si="7"/>
        <v>0</v>
      </c>
      <c r="P106" s="170"/>
      <c r="Q106" s="171">
        <f t="shared" si="8"/>
        <v>41475</v>
      </c>
      <c r="R106" s="171" t="b">
        <f t="shared" si="9"/>
        <v>0</v>
      </c>
      <c r="S106" s="167">
        <f>$S$60-SUM($K$60:K106)</f>
        <v>0</v>
      </c>
      <c r="T106" s="167">
        <f>$T$60-SUM($L$60:L106)</f>
        <v>0</v>
      </c>
      <c r="U106" s="167">
        <f>$U$60-SUM($M$60:M106)</f>
        <v>0</v>
      </c>
      <c r="V106" s="167">
        <f>$V$60-SUM($N$60:N106)</f>
        <v>0</v>
      </c>
      <c r="W106" s="170"/>
      <c r="X106" s="170"/>
      <c r="Y106" s="170"/>
      <c r="Z106" s="59"/>
      <c r="AA106" s="173"/>
      <c r="AB106" s="173"/>
      <c r="AC106" s="173"/>
      <c r="AD106" s="173"/>
      <c r="AE106" s="173"/>
      <c r="AF106" s="173"/>
      <c r="AG106" s="173"/>
      <c r="AH106" s="173"/>
      <c r="AI106" s="173"/>
      <c r="AJ106" s="173"/>
      <c r="AK106" s="173"/>
      <c r="AL106" s="173"/>
      <c r="AM106" s="173"/>
      <c r="AN106" s="173"/>
      <c r="AO106" s="173"/>
      <c r="AP106" s="173"/>
      <c r="AQ106" s="173"/>
    </row>
    <row r="107" spans="1:48">
      <c r="A107" s="477">
        <v>41506</v>
      </c>
      <c r="B107" s="478" t="b">
        <f t="shared" si="13"/>
        <v>1</v>
      </c>
      <c r="C107" s="470">
        <f t="shared" si="12"/>
        <v>0</v>
      </c>
      <c r="D107" s="174">
        <f t="shared" si="12"/>
        <v>0</v>
      </c>
      <c r="E107" s="174">
        <f t="shared" si="12"/>
        <v>0</v>
      </c>
      <c r="F107" s="471">
        <f t="shared" si="12"/>
        <v>0</v>
      </c>
      <c r="G107" s="465">
        <f t="shared" si="11"/>
        <v>0</v>
      </c>
      <c r="H107" s="59"/>
      <c r="I107" s="171">
        <f t="shared" si="5"/>
        <v>41506</v>
      </c>
      <c r="J107" s="171" t="b">
        <f t="shared" si="6"/>
        <v>1</v>
      </c>
      <c r="K107" s="491"/>
      <c r="L107" s="492"/>
      <c r="M107" s="492"/>
      <c r="N107" s="492"/>
      <c r="O107" s="487">
        <f t="shared" si="7"/>
        <v>0</v>
      </c>
      <c r="P107" s="170"/>
      <c r="Q107" s="171">
        <f t="shared" si="8"/>
        <v>41506</v>
      </c>
      <c r="R107" s="171" t="b">
        <f t="shared" si="9"/>
        <v>1</v>
      </c>
      <c r="S107" s="167">
        <f>$S$60-SUM($K$60:K107)</f>
        <v>0</v>
      </c>
      <c r="T107" s="167">
        <f>$T$60-SUM($L$60:L107)</f>
        <v>0</v>
      </c>
      <c r="U107" s="167">
        <f>$U$60-SUM($M$60:M107)</f>
        <v>0</v>
      </c>
      <c r="V107" s="167">
        <f>$V$60-SUM($N$60:N107)</f>
        <v>0</v>
      </c>
      <c r="W107" s="170"/>
      <c r="X107" s="170"/>
      <c r="Y107" s="170"/>
      <c r="Z107" s="59"/>
      <c r="AA107" s="173"/>
      <c r="AB107" s="173"/>
      <c r="AC107" s="173"/>
      <c r="AD107" s="173"/>
      <c r="AE107" s="173"/>
      <c r="AF107" s="173"/>
      <c r="AG107" s="173"/>
      <c r="AH107" s="173"/>
      <c r="AI107" s="173"/>
      <c r="AJ107" s="173"/>
      <c r="AK107" s="173"/>
      <c r="AL107" s="173"/>
      <c r="AM107" s="173"/>
      <c r="AN107" s="173"/>
      <c r="AO107" s="173"/>
      <c r="AP107" s="173"/>
      <c r="AQ107" s="173"/>
    </row>
    <row r="108" spans="1:48">
      <c r="A108" s="477">
        <v>41537</v>
      </c>
      <c r="B108" s="478" t="b">
        <f t="shared" si="13"/>
        <v>0</v>
      </c>
      <c r="C108" s="470">
        <f t="shared" si="12"/>
        <v>0</v>
      </c>
      <c r="D108" s="174">
        <f t="shared" si="12"/>
        <v>0</v>
      </c>
      <c r="E108" s="174">
        <f t="shared" si="12"/>
        <v>0</v>
      </c>
      <c r="F108" s="471">
        <f t="shared" si="12"/>
        <v>0</v>
      </c>
      <c r="G108" s="465">
        <f t="shared" si="11"/>
        <v>0</v>
      </c>
      <c r="H108" s="59"/>
      <c r="I108" s="171">
        <f t="shared" si="5"/>
        <v>41537</v>
      </c>
      <c r="J108" s="171" t="b">
        <f t="shared" si="6"/>
        <v>0</v>
      </c>
      <c r="K108" s="491"/>
      <c r="L108" s="492"/>
      <c r="M108" s="492"/>
      <c r="N108" s="492"/>
      <c r="O108" s="487">
        <f t="shared" si="7"/>
        <v>0</v>
      </c>
      <c r="P108" s="170"/>
      <c r="Q108" s="171">
        <f t="shared" si="8"/>
        <v>41537</v>
      </c>
      <c r="R108" s="171" t="b">
        <f t="shared" si="9"/>
        <v>0</v>
      </c>
      <c r="S108" s="167">
        <f>$S$60-SUM($K$60:K108)</f>
        <v>0</v>
      </c>
      <c r="T108" s="167">
        <f>$T$60-SUM($L$60:L108)</f>
        <v>0</v>
      </c>
      <c r="U108" s="167">
        <f>$U$60-SUM($M$60:M108)</f>
        <v>0</v>
      </c>
      <c r="V108" s="167">
        <f>$V$60-SUM($N$60:N108)</f>
        <v>0</v>
      </c>
      <c r="W108" s="170"/>
      <c r="X108" s="170"/>
      <c r="Y108" s="170"/>
      <c r="Z108" s="59"/>
      <c r="AA108" s="173"/>
      <c r="AB108" s="173"/>
      <c r="AC108" s="173"/>
      <c r="AD108" s="173"/>
      <c r="AE108" s="173"/>
      <c r="AF108" s="173"/>
      <c r="AG108" s="173"/>
      <c r="AH108" s="173"/>
      <c r="AI108" s="173"/>
      <c r="AJ108" s="173"/>
      <c r="AK108" s="173"/>
      <c r="AL108" s="173"/>
      <c r="AM108" s="173"/>
      <c r="AN108" s="173"/>
      <c r="AO108" s="173"/>
      <c r="AP108" s="173"/>
      <c r="AQ108" s="173"/>
    </row>
    <row r="109" spans="1:48">
      <c r="A109" s="477">
        <v>41567</v>
      </c>
      <c r="B109" s="478" t="b">
        <f t="shared" si="13"/>
        <v>0</v>
      </c>
      <c r="C109" s="470">
        <f t="shared" si="12"/>
        <v>0</v>
      </c>
      <c r="D109" s="174">
        <f t="shared" si="12"/>
        <v>0</v>
      </c>
      <c r="E109" s="174">
        <f t="shared" si="12"/>
        <v>0</v>
      </c>
      <c r="F109" s="471">
        <f t="shared" si="12"/>
        <v>0</v>
      </c>
      <c r="G109" s="465">
        <f t="shared" si="11"/>
        <v>0</v>
      </c>
      <c r="I109" s="171">
        <f t="shared" si="5"/>
        <v>41567</v>
      </c>
      <c r="J109" s="171" t="b">
        <f t="shared" si="6"/>
        <v>0</v>
      </c>
      <c r="K109" s="491"/>
      <c r="L109" s="492"/>
      <c r="M109" s="492"/>
      <c r="N109" s="492"/>
      <c r="O109" s="487">
        <f t="shared" si="7"/>
        <v>0</v>
      </c>
      <c r="Q109" s="171">
        <f t="shared" si="8"/>
        <v>41567</v>
      </c>
      <c r="R109" s="171" t="b">
        <f t="shared" si="9"/>
        <v>0</v>
      </c>
      <c r="S109" s="167">
        <f>$S$60-SUM($K$60:K109)</f>
        <v>0</v>
      </c>
      <c r="T109" s="167">
        <f>$T$60-SUM($L$60:L109)</f>
        <v>0</v>
      </c>
      <c r="U109" s="167">
        <f>$U$60-SUM($M$60:M109)</f>
        <v>0</v>
      </c>
      <c r="V109" s="167">
        <f>$V$60-SUM($N$60:N109)</f>
        <v>0</v>
      </c>
    </row>
    <row r="110" spans="1:48">
      <c r="A110" s="479">
        <v>41598</v>
      </c>
      <c r="B110" s="480" t="b">
        <f t="shared" si="13"/>
        <v>1</v>
      </c>
      <c r="C110" s="472">
        <f t="shared" si="12"/>
        <v>654022506</v>
      </c>
      <c r="D110" s="473">
        <f t="shared" si="12"/>
        <v>0</v>
      </c>
      <c r="E110" s="473">
        <f t="shared" si="12"/>
        <v>0</v>
      </c>
      <c r="F110" s="474">
        <f t="shared" si="12"/>
        <v>0</v>
      </c>
      <c r="G110" s="466">
        <f>ROUND((G52-G53),2)</f>
        <v>654022506</v>
      </c>
      <c r="I110" s="171">
        <f t="shared" si="5"/>
        <v>41598</v>
      </c>
      <c r="J110" s="171" t="b">
        <f t="shared" si="6"/>
        <v>1</v>
      </c>
      <c r="K110" s="491"/>
      <c r="L110" s="492"/>
      <c r="M110" s="492"/>
      <c r="N110" s="492"/>
      <c r="O110" s="487">
        <f t="shared" si="7"/>
        <v>0</v>
      </c>
      <c r="Q110" s="171">
        <f t="shared" si="8"/>
        <v>41598</v>
      </c>
      <c r="R110" s="171" t="b">
        <f t="shared" si="9"/>
        <v>1</v>
      </c>
      <c r="S110" s="167">
        <f>$S$60-SUM($K$60:K110)</f>
        <v>0</v>
      </c>
      <c r="T110" s="167">
        <f>$T$60-SUM($L$60:L110)</f>
        <v>0</v>
      </c>
      <c r="U110" s="167">
        <f>$U$60-SUM($M$60:M110)</f>
        <v>0</v>
      </c>
      <c r="V110" s="167">
        <f>$V$60-SUM($N$60:N110)</f>
        <v>0</v>
      </c>
    </row>
    <row r="111" spans="1:48">
      <c r="A111" s="479">
        <v>41628</v>
      </c>
      <c r="B111" s="485" t="s">
        <v>562</v>
      </c>
      <c r="C111" s="472">
        <f t="shared" si="12"/>
        <v>9630977494</v>
      </c>
      <c r="D111" s="473">
        <f t="shared" si="12"/>
        <v>781200000</v>
      </c>
      <c r="E111" s="473">
        <f t="shared" si="12"/>
        <v>439200000</v>
      </c>
      <c r="F111" s="474">
        <f t="shared" si="12"/>
        <v>548450000</v>
      </c>
      <c r="G111" s="466">
        <f t="shared" si="11"/>
        <v>11399827494</v>
      </c>
      <c r="I111" s="171">
        <f t="shared" si="5"/>
        <v>41628</v>
      </c>
      <c r="J111" s="171" t="str">
        <f t="shared" si="6"/>
        <v>MATURITY</v>
      </c>
      <c r="K111" s="493"/>
      <c r="L111" s="494"/>
      <c r="M111" s="494"/>
      <c r="N111" s="494"/>
      <c r="O111" s="487">
        <f t="shared" si="7"/>
        <v>0</v>
      </c>
      <c r="Q111" s="171">
        <f t="shared" si="8"/>
        <v>41628</v>
      </c>
      <c r="R111" s="171" t="str">
        <f t="shared" si="9"/>
        <v>MATURITY</v>
      </c>
      <c r="S111" s="167">
        <f>$S$60-SUM($K$60:K111)</f>
        <v>0</v>
      </c>
      <c r="T111" s="167">
        <f>$T$60-SUM($L$60:L111)</f>
        <v>0</v>
      </c>
      <c r="U111" s="167">
        <f>$U$60-SUM($M$60:M111)</f>
        <v>0</v>
      </c>
      <c r="V111" s="167">
        <f>$V$60-SUM($N$60:N111)</f>
        <v>0</v>
      </c>
    </row>
    <row r="112" spans="1:48">
      <c r="A112" s="169"/>
      <c r="B112" s="171"/>
      <c r="C112" s="170"/>
      <c r="D112" s="170"/>
      <c r="E112" s="170"/>
      <c r="F112" s="170"/>
      <c r="G112" s="170"/>
      <c r="H112" s="170"/>
    </row>
    <row r="113" spans="1:8">
      <c r="A113" s="171"/>
      <c r="B113" s="171"/>
      <c r="C113" s="173"/>
      <c r="D113" s="173"/>
      <c r="E113" s="173"/>
      <c r="F113" s="173"/>
      <c r="G113" s="173"/>
      <c r="H113" s="170"/>
    </row>
    <row r="114" spans="1:8">
      <c r="A114" s="171"/>
      <c r="B114" s="171"/>
      <c r="C114" s="173"/>
      <c r="D114" s="173"/>
      <c r="E114" s="173"/>
      <c r="F114" s="173"/>
      <c r="G114" s="173"/>
      <c r="H114" s="170"/>
    </row>
    <row r="115" spans="1:8">
      <c r="A115" s="171"/>
      <c r="B115" s="171"/>
      <c r="C115" s="173"/>
      <c r="D115" s="173"/>
      <c r="E115" s="173"/>
      <c r="F115" s="173"/>
      <c r="G115" s="173"/>
      <c r="H115" s="170"/>
    </row>
    <row r="116" spans="1:8">
      <c r="A116" s="171"/>
      <c r="B116" s="171"/>
      <c r="C116" s="173"/>
      <c r="D116" s="173"/>
      <c r="E116" s="173"/>
      <c r="F116" s="173"/>
      <c r="G116" s="173"/>
      <c r="H116" s="170"/>
    </row>
    <row r="117" spans="1:8">
      <c r="A117" s="171"/>
      <c r="B117" s="171"/>
      <c r="C117" s="173"/>
      <c r="D117" s="173"/>
      <c r="E117" s="173"/>
      <c r="F117" s="173"/>
      <c r="G117" s="173"/>
      <c r="H117" s="170"/>
    </row>
    <row r="118" spans="1:8">
      <c r="A118" s="171"/>
      <c r="B118" s="171"/>
      <c r="C118" s="173"/>
      <c r="D118" s="173"/>
      <c r="E118" s="173"/>
      <c r="F118" s="173"/>
      <c r="G118" s="173"/>
      <c r="H118" s="170"/>
    </row>
    <row r="119" spans="1:8">
      <c r="A119" s="171"/>
      <c r="B119" s="171"/>
      <c r="C119" s="173"/>
      <c r="D119" s="173"/>
      <c r="E119" s="173"/>
      <c r="F119" s="173"/>
      <c r="G119" s="173"/>
      <c r="H119" s="170"/>
    </row>
    <row r="120" spans="1:8">
      <c r="A120" s="171"/>
      <c r="B120" s="171"/>
      <c r="C120" s="173"/>
      <c r="D120" s="173"/>
      <c r="E120" s="173"/>
      <c r="F120" s="173"/>
      <c r="G120" s="173"/>
      <c r="H120" s="170"/>
    </row>
    <row r="121" spans="1:8">
      <c r="A121" s="171"/>
      <c r="B121" s="171"/>
      <c r="C121" s="173"/>
      <c r="D121" s="173"/>
      <c r="E121" s="173"/>
      <c r="F121" s="173"/>
      <c r="G121" s="173"/>
      <c r="H121" s="170"/>
    </row>
    <row r="122" spans="1:8">
      <c r="A122" s="171"/>
      <c r="B122" s="171"/>
      <c r="C122" s="173"/>
      <c r="D122" s="173"/>
      <c r="E122" s="173"/>
      <c r="F122" s="173"/>
      <c r="G122" s="173"/>
      <c r="H122" s="170"/>
    </row>
    <row r="123" spans="1:8">
      <c r="A123" s="171"/>
      <c r="B123" s="171"/>
      <c r="C123" s="173"/>
      <c r="D123" s="173"/>
      <c r="E123" s="173"/>
      <c r="F123" s="173"/>
      <c r="G123" s="173"/>
      <c r="H123" s="170"/>
    </row>
    <row r="124" spans="1:8">
      <c r="A124" s="171"/>
      <c r="B124" s="171"/>
      <c r="C124" s="173"/>
      <c r="D124" s="173"/>
      <c r="E124" s="173"/>
      <c r="F124" s="173"/>
      <c r="G124" s="173"/>
      <c r="H124" s="170"/>
    </row>
    <row r="125" spans="1:8">
      <c r="A125" s="171"/>
      <c r="B125" s="171"/>
      <c r="C125" s="173"/>
      <c r="D125" s="173"/>
      <c r="E125" s="173"/>
      <c r="F125" s="173"/>
      <c r="G125" s="173"/>
      <c r="H125" s="170"/>
    </row>
    <row r="126" spans="1:8">
      <c r="A126" s="171"/>
      <c r="B126" s="171"/>
      <c r="C126" s="173"/>
      <c r="D126" s="173"/>
      <c r="E126" s="173"/>
      <c r="F126" s="173"/>
      <c r="G126" s="173"/>
      <c r="H126" s="170"/>
    </row>
    <row r="127" spans="1:8">
      <c r="A127" s="171"/>
      <c r="B127" s="171"/>
      <c r="C127" s="173"/>
      <c r="D127" s="173"/>
      <c r="E127" s="173"/>
      <c r="F127" s="173"/>
      <c r="G127" s="173"/>
      <c r="H127" s="170"/>
    </row>
    <row r="128" spans="1:8">
      <c r="A128" s="171"/>
      <c r="B128" s="171"/>
      <c r="C128" s="173"/>
      <c r="D128" s="173"/>
      <c r="E128" s="173"/>
      <c r="F128" s="173"/>
      <c r="G128" s="173"/>
      <c r="H128" s="170"/>
    </row>
    <row r="129" spans="1:8">
      <c r="A129" s="171"/>
      <c r="B129" s="171"/>
      <c r="C129" s="173"/>
      <c r="D129" s="173"/>
      <c r="E129" s="173"/>
      <c r="F129" s="173"/>
      <c r="G129" s="173"/>
      <c r="H129" s="170"/>
    </row>
    <row r="130" spans="1:8">
      <c r="A130" s="171"/>
      <c r="B130" s="171"/>
      <c r="C130" s="173"/>
      <c r="D130" s="173"/>
      <c r="E130" s="173"/>
      <c r="F130" s="173"/>
      <c r="G130" s="173"/>
      <c r="H130" s="170"/>
    </row>
    <row r="131" spans="1:8">
      <c r="A131" s="171"/>
      <c r="B131" s="171"/>
      <c r="C131" s="173"/>
      <c r="D131" s="173"/>
      <c r="E131" s="173"/>
      <c r="F131" s="173"/>
      <c r="G131" s="173"/>
      <c r="H131" s="170"/>
    </row>
    <row r="132" spans="1:8">
      <c r="A132" s="171"/>
      <c r="B132" s="171"/>
      <c r="C132" s="173"/>
      <c r="D132" s="173"/>
      <c r="E132" s="173"/>
      <c r="F132" s="173"/>
      <c r="G132" s="173"/>
      <c r="H132" s="170"/>
    </row>
    <row r="133" spans="1:8">
      <c r="A133" s="171"/>
      <c r="B133" s="171"/>
      <c r="C133" s="173"/>
      <c r="D133" s="173"/>
      <c r="E133" s="173"/>
      <c r="F133" s="173"/>
      <c r="G133" s="173"/>
      <c r="H133" s="170"/>
    </row>
    <row r="134" spans="1:8">
      <c r="A134" s="171"/>
      <c r="B134" s="171"/>
      <c r="C134" s="173"/>
      <c r="D134" s="173"/>
      <c r="E134" s="173"/>
      <c r="F134" s="173"/>
      <c r="G134" s="173"/>
      <c r="H134" s="170"/>
    </row>
    <row r="135" spans="1:8">
      <c r="A135" s="171"/>
      <c r="B135" s="171"/>
      <c r="C135" s="173"/>
      <c r="D135" s="173"/>
      <c r="E135" s="173"/>
      <c r="F135" s="173"/>
      <c r="G135" s="173"/>
      <c r="H135" s="170"/>
    </row>
    <row r="136" spans="1:8">
      <c r="A136" s="171"/>
      <c r="B136" s="171"/>
      <c r="C136" s="173"/>
      <c r="D136" s="173"/>
      <c r="E136" s="173"/>
      <c r="F136" s="173"/>
      <c r="G136" s="173"/>
      <c r="H136" s="170"/>
    </row>
    <row r="137" spans="1:8">
      <c r="A137" s="171"/>
      <c r="B137" s="171"/>
      <c r="C137" s="173"/>
      <c r="D137" s="173"/>
      <c r="E137" s="173"/>
      <c r="F137" s="173"/>
      <c r="G137" s="173"/>
      <c r="H137" s="170"/>
    </row>
    <row r="138" spans="1:8">
      <c r="A138" s="171"/>
      <c r="B138" s="171"/>
      <c r="C138" s="173"/>
      <c r="D138" s="173"/>
      <c r="E138" s="173"/>
      <c r="F138" s="173"/>
      <c r="G138" s="173"/>
      <c r="H138" s="170"/>
    </row>
    <row r="139" spans="1:8">
      <c r="A139" s="171"/>
      <c r="B139" s="171"/>
      <c r="C139" s="173"/>
      <c r="D139" s="173"/>
      <c r="E139" s="173"/>
      <c r="F139" s="173"/>
      <c r="G139" s="173"/>
      <c r="H139" s="170"/>
    </row>
    <row r="140" spans="1:8">
      <c r="A140" s="171"/>
      <c r="B140" s="171"/>
      <c r="C140" s="173"/>
      <c r="D140" s="173"/>
      <c r="E140" s="173"/>
      <c r="F140" s="173"/>
      <c r="G140" s="173"/>
      <c r="H140" s="170"/>
    </row>
    <row r="141" spans="1:8">
      <c r="A141" s="171"/>
      <c r="B141" s="171"/>
      <c r="C141" s="173"/>
      <c r="D141" s="173"/>
      <c r="E141" s="173"/>
      <c r="F141" s="173"/>
      <c r="G141" s="173"/>
      <c r="H141" s="170"/>
    </row>
    <row r="142" spans="1:8">
      <c r="A142" s="171"/>
      <c r="B142" s="171"/>
      <c r="C142" s="173"/>
      <c r="D142" s="173"/>
      <c r="E142" s="173"/>
      <c r="F142" s="173"/>
      <c r="G142" s="173"/>
      <c r="H142" s="170"/>
    </row>
    <row r="143" spans="1:8">
      <c r="A143" s="171"/>
      <c r="B143" s="171"/>
      <c r="C143" s="173"/>
      <c r="D143" s="173"/>
      <c r="E143" s="173"/>
      <c r="F143" s="173"/>
      <c r="G143" s="173"/>
      <c r="H143" s="170"/>
    </row>
    <row r="144" spans="1:8">
      <c r="A144" s="171"/>
      <c r="B144" s="171"/>
      <c r="C144" s="173"/>
      <c r="D144" s="173"/>
      <c r="E144" s="173"/>
      <c r="F144" s="173"/>
      <c r="G144" s="173"/>
      <c r="H144" s="170"/>
    </row>
    <row r="145" spans="1:8">
      <c r="A145" s="171"/>
      <c r="B145" s="171"/>
      <c r="C145" s="173"/>
      <c r="D145" s="173"/>
      <c r="E145" s="173"/>
      <c r="F145" s="173"/>
      <c r="G145" s="173"/>
      <c r="H145" s="170"/>
    </row>
    <row r="146" spans="1:8">
      <c r="A146" s="171"/>
      <c r="B146" s="171"/>
      <c r="C146" s="173"/>
      <c r="D146" s="173"/>
      <c r="E146" s="173"/>
      <c r="F146" s="173"/>
      <c r="G146" s="173"/>
      <c r="H146" s="170"/>
    </row>
    <row r="147" spans="1:8">
      <c r="A147" s="171"/>
      <c r="B147" s="171"/>
      <c r="C147" s="173"/>
      <c r="D147" s="173"/>
      <c r="E147" s="173"/>
      <c r="F147" s="173"/>
      <c r="G147" s="173"/>
      <c r="H147" s="170"/>
    </row>
    <row r="148" spans="1:8">
      <c r="A148" s="171"/>
      <c r="B148" s="171"/>
      <c r="C148" s="173"/>
      <c r="D148" s="173"/>
      <c r="E148" s="173"/>
      <c r="F148" s="173"/>
      <c r="G148" s="173"/>
      <c r="H148" s="170"/>
    </row>
    <row r="149" spans="1:8">
      <c r="A149" s="171"/>
      <c r="B149" s="171"/>
      <c r="C149" s="173"/>
      <c r="D149" s="173"/>
      <c r="E149" s="173"/>
      <c r="F149" s="173"/>
      <c r="G149" s="173"/>
      <c r="H149" s="170"/>
    </row>
    <row r="150" spans="1:8">
      <c r="A150" s="171"/>
      <c r="B150" s="171"/>
      <c r="C150" s="173"/>
      <c r="D150" s="173"/>
      <c r="E150" s="173"/>
      <c r="F150" s="173"/>
      <c r="G150" s="173"/>
      <c r="H150" s="170"/>
    </row>
    <row r="151" spans="1:8">
      <c r="A151" s="171"/>
      <c r="B151" s="171"/>
      <c r="C151" s="173"/>
      <c r="D151" s="173"/>
      <c r="E151" s="173"/>
      <c r="F151" s="173"/>
      <c r="G151" s="173"/>
      <c r="H151" s="170"/>
    </row>
    <row r="152" spans="1:8">
      <c r="A152" s="171"/>
      <c r="B152" s="171"/>
      <c r="C152" s="173"/>
      <c r="D152" s="173"/>
      <c r="E152" s="173"/>
      <c r="F152" s="173"/>
      <c r="G152" s="173"/>
      <c r="H152" s="170"/>
    </row>
    <row r="153" spans="1:8">
      <c r="A153" s="59"/>
      <c r="B153" s="59"/>
    </row>
    <row r="154" spans="1:8">
      <c r="A154" s="59"/>
      <c r="B154" s="59"/>
    </row>
    <row r="155" spans="1:8">
      <c r="A155" s="59"/>
      <c r="B155" s="59"/>
    </row>
    <row r="156" spans="1:8">
      <c r="A156" s="59"/>
      <c r="B156" s="59"/>
    </row>
    <row r="157" spans="1:8">
      <c r="A157" s="59"/>
      <c r="B157" s="59"/>
    </row>
    <row r="158" spans="1:8">
      <c r="A158" s="59"/>
      <c r="B158" s="59"/>
    </row>
    <row r="159" spans="1:8">
      <c r="A159" s="59"/>
      <c r="B159" s="59"/>
    </row>
    <row r="160" spans="1:8">
      <c r="A160" s="59"/>
      <c r="B160" s="59"/>
    </row>
    <row r="161" spans="1:2">
      <c r="A161" s="59"/>
      <c r="B161" s="59"/>
    </row>
    <row r="162" spans="1:2">
      <c r="A162" s="59"/>
      <c r="B162" s="59"/>
    </row>
    <row r="163" spans="1:2">
      <c r="A163" s="59"/>
      <c r="B163" s="59"/>
    </row>
    <row r="164" spans="1:2">
      <c r="A164" s="59"/>
      <c r="B164" s="59"/>
    </row>
    <row r="165" spans="1:2">
      <c r="A165" s="59"/>
      <c r="B165" s="59"/>
    </row>
    <row r="166" spans="1:2">
      <c r="A166" s="59"/>
      <c r="B166" s="59"/>
    </row>
    <row r="167" spans="1:2">
      <c r="A167" s="59"/>
      <c r="B167" s="59"/>
    </row>
    <row r="168" spans="1:2">
      <c r="A168" s="59"/>
      <c r="B168" s="59"/>
    </row>
    <row r="169" spans="1:2">
      <c r="A169" s="59"/>
      <c r="B169" s="59"/>
    </row>
    <row r="170" spans="1:2">
      <c r="A170" s="59"/>
      <c r="B170" s="59"/>
    </row>
    <row r="171" spans="1:2">
      <c r="A171" s="59"/>
      <c r="B171" s="59"/>
    </row>
    <row r="172" spans="1:2">
      <c r="A172" s="59"/>
      <c r="B172" s="59"/>
    </row>
    <row r="173" spans="1:2">
      <c r="A173" s="59"/>
      <c r="B173" s="59"/>
    </row>
    <row r="174" spans="1:2">
      <c r="A174" s="59"/>
      <c r="B174" s="59"/>
    </row>
    <row r="175" spans="1:2">
      <c r="A175" s="59"/>
      <c r="B175" s="59"/>
    </row>
    <row r="176" spans="1:2">
      <c r="A176" s="59"/>
      <c r="B176" s="59"/>
    </row>
    <row r="177" spans="1:2">
      <c r="A177" s="59"/>
      <c r="B177" s="59"/>
    </row>
    <row r="178" spans="1:2">
      <c r="A178" s="59"/>
      <c r="B178" s="59"/>
    </row>
  </sheetData>
  <autoFilter ref="A2:F42"/>
  <phoneticPr fontId="3" type="noConversion"/>
  <pageMargins left="0.75" right="0.75" top="1" bottom="1" header="0.5" footer="0.5"/>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7"/>
  <dimension ref="A1:IV57"/>
  <sheetViews>
    <sheetView topLeftCell="A19" workbookViewId="0">
      <selection activeCell="B18" sqref="B18"/>
    </sheetView>
  </sheetViews>
  <sheetFormatPr defaultRowHeight="12.75"/>
  <cols>
    <col min="1" max="1" width="31.7109375" bestFit="1" customWidth="1"/>
    <col min="2" max="2" width="49.140625" bestFit="1" customWidth="1"/>
    <col min="3" max="3" width="2.28515625" style="77" customWidth="1"/>
    <col min="4" max="4" width="40.5703125" bestFit="1" customWidth="1"/>
    <col min="5" max="5" width="49" customWidth="1"/>
    <col min="6" max="6" width="2.5703125" style="77" customWidth="1"/>
    <col min="7" max="7" width="27.28515625" bestFit="1" customWidth="1"/>
    <col min="8" max="8" width="31.5703125" bestFit="1" customWidth="1"/>
  </cols>
  <sheetData>
    <row r="1" spans="1:5" ht="13.5" thickBot="1">
      <c r="A1" s="69" t="s">
        <v>830</v>
      </c>
    </row>
    <row r="2" spans="1:5" ht="204">
      <c r="A2" s="1474" t="s">
        <v>390</v>
      </c>
      <c r="B2" s="1475"/>
      <c r="C2" s="1475"/>
      <c r="D2" s="1476"/>
      <c r="E2" s="270" t="s">
        <v>389</v>
      </c>
    </row>
    <row r="3" spans="1:5">
      <c r="A3" s="1477"/>
      <c r="B3" s="1478"/>
      <c r="C3" s="1478"/>
      <c r="D3" s="1479"/>
    </row>
    <row r="4" spans="1:5">
      <c r="A4" s="1477"/>
      <c r="B4" s="1478"/>
      <c r="C4" s="1478"/>
      <c r="D4" s="1479"/>
    </row>
    <row r="5" spans="1:5">
      <c r="A5" s="1477"/>
      <c r="B5" s="1478"/>
      <c r="C5" s="1478"/>
      <c r="D5" s="1479"/>
    </row>
    <row r="6" spans="1:5">
      <c r="A6" s="1477"/>
      <c r="B6" s="1478"/>
      <c r="C6" s="1478"/>
      <c r="D6" s="1479"/>
    </row>
    <row r="7" spans="1:5">
      <c r="A7" s="1477"/>
      <c r="B7" s="1478"/>
      <c r="C7" s="1478"/>
      <c r="D7" s="1479"/>
    </row>
    <row r="8" spans="1:5">
      <c r="A8" s="1477"/>
      <c r="B8" s="1478"/>
      <c r="C8" s="1478"/>
      <c r="D8" s="1479"/>
    </row>
    <row r="9" spans="1:5">
      <c r="A9" s="1477"/>
      <c r="B9" s="1478"/>
      <c r="C9" s="1478"/>
      <c r="D9" s="1479"/>
    </row>
    <row r="10" spans="1:5">
      <c r="A10" s="1477"/>
      <c r="B10" s="1478"/>
      <c r="C10" s="1478"/>
      <c r="D10" s="1479"/>
    </row>
    <row r="11" spans="1:5">
      <c r="A11" s="1477"/>
      <c r="B11" s="1478"/>
      <c r="C11" s="1478"/>
      <c r="D11" s="1479"/>
    </row>
    <row r="12" spans="1:5">
      <c r="A12" s="1477"/>
      <c r="B12" s="1478"/>
      <c r="C12" s="1478"/>
      <c r="D12" s="1479"/>
    </row>
    <row r="13" spans="1:5" ht="48.75" customHeight="1" thickBot="1">
      <c r="A13" s="1480"/>
      <c r="B13" s="1481"/>
      <c r="C13" s="1481"/>
      <c r="D13" s="1482"/>
    </row>
    <row r="18" spans="1:8">
      <c r="A18" s="70" t="s">
        <v>538</v>
      </c>
      <c r="D18" s="70" t="s">
        <v>165</v>
      </c>
      <c r="E18" s="70" t="s">
        <v>400</v>
      </c>
      <c r="F18" s="79"/>
      <c r="G18" s="69" t="s">
        <v>474</v>
      </c>
      <c r="H18" s="69" t="s">
        <v>475</v>
      </c>
    </row>
    <row r="19" spans="1:8">
      <c r="A19" t="s">
        <v>777</v>
      </c>
      <c r="B19" t="s">
        <v>473</v>
      </c>
      <c r="D19" s="81" t="s">
        <v>485</v>
      </c>
      <c r="E19" s="81" t="s">
        <v>398</v>
      </c>
      <c r="F19" s="80"/>
      <c r="G19" t="s">
        <v>170</v>
      </c>
    </row>
    <row r="20" spans="1:8">
      <c r="A20" t="s">
        <v>839</v>
      </c>
      <c r="B20" t="s">
        <v>473</v>
      </c>
      <c r="D20" t="s">
        <v>161</v>
      </c>
      <c r="E20" t="s">
        <v>478</v>
      </c>
    </row>
    <row r="21" spans="1:8">
      <c r="D21" t="s">
        <v>162</v>
      </c>
      <c r="E21" t="s">
        <v>479</v>
      </c>
    </row>
    <row r="22" spans="1:8" ht="25.5">
      <c r="D22" t="s">
        <v>163</v>
      </c>
      <c r="E22" s="75" t="s">
        <v>480</v>
      </c>
    </row>
    <row r="23" spans="1:8">
      <c r="D23" t="s">
        <v>164</v>
      </c>
    </row>
    <row r="25" spans="1:8">
      <c r="D25" s="70" t="s">
        <v>168</v>
      </c>
    </row>
    <row r="26" spans="1:8">
      <c r="D26" t="s">
        <v>973</v>
      </c>
    </row>
    <row r="27" spans="1:8">
      <c r="D27" t="s">
        <v>972</v>
      </c>
    </row>
    <row r="30" spans="1:8">
      <c r="A30" s="70" t="s">
        <v>539</v>
      </c>
      <c r="B30" s="70" t="s">
        <v>540</v>
      </c>
      <c r="D30" s="70" t="s">
        <v>539</v>
      </c>
      <c r="E30" s="70"/>
      <c r="F30" s="79"/>
    </row>
    <row r="31" spans="1:8" ht="51">
      <c r="A31" s="72" t="s">
        <v>536</v>
      </c>
      <c r="B31" s="68" t="s">
        <v>537</v>
      </c>
      <c r="D31" s="69" t="s">
        <v>281</v>
      </c>
    </row>
    <row r="32" spans="1:8" ht="38.25">
      <c r="A32" s="68" t="s">
        <v>169</v>
      </c>
      <c r="B32" s="71" t="s">
        <v>159</v>
      </c>
      <c r="D32" t="s">
        <v>484</v>
      </c>
      <c r="E32" t="s">
        <v>167</v>
      </c>
    </row>
    <row r="33" spans="1:256" ht="76.5">
      <c r="A33" s="72" t="s">
        <v>605</v>
      </c>
      <c r="B33" s="68" t="s">
        <v>468</v>
      </c>
      <c r="D33" t="s">
        <v>399</v>
      </c>
    </row>
    <row r="34" spans="1:256" ht="51">
      <c r="A34" s="72" t="s">
        <v>393</v>
      </c>
      <c r="B34" s="68" t="s">
        <v>160</v>
      </c>
      <c r="D34" t="s">
        <v>166</v>
      </c>
      <c r="E34" s="68" t="s">
        <v>832</v>
      </c>
    </row>
    <row r="35" spans="1:256">
      <c r="A35" s="72"/>
      <c r="B35" s="72"/>
    </row>
    <row r="36" spans="1:256">
      <c r="A36" s="76" t="s">
        <v>472</v>
      </c>
      <c r="B36" s="72"/>
      <c r="D36" s="70" t="s">
        <v>282</v>
      </c>
    </row>
    <row r="37" spans="1:256" ht="25.5">
      <c r="A37" s="72" t="s">
        <v>442</v>
      </c>
      <c r="B37" s="68" t="s">
        <v>395</v>
      </c>
      <c r="C37" s="78"/>
      <c r="D37" t="s">
        <v>391</v>
      </c>
      <c r="E37" s="68" t="s">
        <v>831</v>
      </c>
      <c r="G37" s="72"/>
      <c r="H37" s="72"/>
      <c r="I37" s="68"/>
      <c r="J37" s="72"/>
      <c r="K37" s="72"/>
      <c r="L37" s="68"/>
      <c r="M37" s="72"/>
      <c r="N37" s="72"/>
      <c r="O37" s="68"/>
      <c r="P37" s="72"/>
      <c r="Q37" s="72"/>
      <c r="R37" s="68"/>
      <c r="S37" s="72"/>
      <c r="T37" s="72"/>
      <c r="U37" s="68"/>
      <c r="V37" s="72"/>
      <c r="W37" s="72"/>
      <c r="X37" s="68"/>
      <c r="Y37" s="72"/>
      <c r="Z37" s="72"/>
      <c r="AA37" s="68"/>
      <c r="AB37" s="72"/>
      <c r="AC37" s="72"/>
      <c r="AD37" s="68"/>
      <c r="AE37" s="72"/>
      <c r="AF37" s="72"/>
      <c r="AG37" s="68"/>
      <c r="AH37" s="72"/>
      <c r="AI37" s="72"/>
      <c r="AJ37" s="68"/>
      <c r="AK37" s="72"/>
      <c r="AL37" s="72"/>
      <c r="AM37" s="68"/>
      <c r="AN37" s="72"/>
      <c r="AO37" s="72"/>
      <c r="AP37" s="68"/>
      <c r="AQ37" s="72"/>
      <c r="AR37" s="72"/>
      <c r="AS37" s="68"/>
      <c r="AT37" s="72"/>
      <c r="AU37" s="72"/>
      <c r="AV37" s="68"/>
      <c r="AW37" s="72"/>
      <c r="AX37" s="72"/>
      <c r="AY37" s="68"/>
      <c r="AZ37" s="72"/>
      <c r="BA37" s="72"/>
      <c r="BB37" s="68"/>
      <c r="BC37" s="72"/>
      <c r="BD37" s="72"/>
      <c r="BE37" s="68"/>
      <c r="BF37" s="72"/>
      <c r="BG37" s="72"/>
      <c r="BH37" s="68"/>
      <c r="BI37" s="72"/>
      <c r="BJ37" s="72"/>
      <c r="BK37" s="68"/>
      <c r="BL37" s="72"/>
      <c r="BM37" s="72"/>
      <c r="BN37" s="68"/>
      <c r="BO37" s="72"/>
      <c r="BP37" s="72"/>
      <c r="BQ37" s="68"/>
      <c r="BR37" s="72"/>
      <c r="BS37" s="72"/>
      <c r="BT37" s="68"/>
      <c r="BU37" s="72"/>
      <c r="BV37" s="72"/>
      <c r="BW37" s="68"/>
      <c r="BX37" s="72"/>
      <c r="BY37" s="72"/>
      <c r="BZ37" s="68"/>
      <c r="CA37" s="72"/>
      <c r="CB37" s="72"/>
      <c r="CC37" s="68"/>
      <c r="CD37" s="72"/>
      <c r="CE37" s="72"/>
      <c r="CF37" s="68"/>
      <c r="CG37" s="72"/>
      <c r="CH37" s="72"/>
      <c r="CI37" s="68"/>
      <c r="CJ37" s="72"/>
      <c r="CK37" s="72"/>
      <c r="CL37" s="68"/>
      <c r="CM37" s="72"/>
      <c r="CN37" s="72"/>
      <c r="CO37" s="68"/>
      <c r="CP37" s="72"/>
      <c r="CQ37" s="72"/>
      <c r="CR37" s="68"/>
      <c r="CS37" s="72"/>
      <c r="CT37" s="72"/>
      <c r="CU37" s="68"/>
      <c r="CV37" s="72"/>
      <c r="CW37" s="72"/>
      <c r="CX37" s="68"/>
      <c r="CY37" s="72"/>
      <c r="CZ37" s="72"/>
      <c r="DA37" s="68"/>
      <c r="DB37" s="72"/>
      <c r="DC37" s="72"/>
      <c r="DD37" s="68"/>
      <c r="DE37" s="72"/>
      <c r="DF37" s="72"/>
      <c r="DG37" s="68"/>
      <c r="DH37" s="72"/>
      <c r="DI37" s="72"/>
      <c r="DJ37" s="68"/>
      <c r="DK37" s="72"/>
      <c r="DL37" s="72"/>
      <c r="DM37" s="68"/>
      <c r="DN37" s="72"/>
      <c r="DO37" s="72"/>
      <c r="DP37" s="68"/>
      <c r="DQ37" s="72"/>
      <c r="DR37" s="72"/>
      <c r="DS37" s="68"/>
      <c r="DT37" s="72"/>
      <c r="DU37" s="72"/>
      <c r="DV37" s="68"/>
      <c r="DW37" s="72"/>
      <c r="DX37" s="72"/>
      <c r="DY37" s="68"/>
      <c r="DZ37" s="72"/>
      <c r="EA37" s="72"/>
      <c r="EB37" s="68"/>
      <c r="EC37" s="72"/>
      <c r="ED37" s="72"/>
      <c r="EE37" s="68"/>
      <c r="EF37" s="72"/>
      <c r="EG37" s="72"/>
      <c r="EH37" s="68"/>
      <c r="EI37" s="72"/>
      <c r="EJ37" s="72"/>
      <c r="EK37" s="68"/>
      <c r="EL37" s="72"/>
      <c r="EM37" s="72"/>
      <c r="EN37" s="68"/>
      <c r="EO37" s="72"/>
      <c r="EP37" s="72"/>
      <c r="EQ37" s="68"/>
      <c r="ER37" s="72"/>
      <c r="ES37" s="72"/>
      <c r="ET37" s="68"/>
      <c r="EU37" s="72"/>
      <c r="EV37" s="72"/>
      <c r="EW37" s="68"/>
      <c r="EX37" s="72"/>
      <c r="EY37" s="72"/>
      <c r="EZ37" s="68"/>
      <c r="FA37" s="72"/>
      <c r="FB37" s="72"/>
      <c r="FC37" s="68"/>
      <c r="FD37" s="72"/>
      <c r="FE37" s="72"/>
      <c r="FF37" s="68"/>
      <c r="FG37" s="72"/>
      <c r="FH37" s="72"/>
      <c r="FI37" s="68"/>
      <c r="FJ37" s="72"/>
      <c r="FK37" s="72"/>
      <c r="FL37" s="68"/>
      <c r="FM37" s="72"/>
      <c r="FN37" s="72"/>
      <c r="FO37" s="68"/>
      <c r="FP37" s="72"/>
      <c r="FQ37" s="72"/>
      <c r="FR37" s="68"/>
      <c r="FS37" s="72"/>
      <c r="FT37" s="72"/>
      <c r="FU37" s="68"/>
      <c r="FV37" s="72"/>
      <c r="FW37" s="72"/>
      <c r="FX37" s="68"/>
      <c r="FY37" s="72"/>
      <c r="FZ37" s="72"/>
      <c r="GA37" s="68"/>
      <c r="GB37" s="72"/>
      <c r="GC37" s="72"/>
      <c r="GD37" s="68"/>
      <c r="GE37" s="72"/>
      <c r="GF37" s="72"/>
      <c r="GG37" s="68"/>
      <c r="GH37" s="72"/>
      <c r="GI37" s="72"/>
      <c r="GJ37" s="68"/>
      <c r="GK37" s="72"/>
      <c r="GL37" s="72"/>
      <c r="GM37" s="68"/>
      <c r="GN37" s="72"/>
      <c r="GO37" s="72"/>
      <c r="GP37" s="68"/>
      <c r="GQ37" s="72"/>
      <c r="GR37" s="72"/>
      <c r="GS37" s="68"/>
      <c r="GT37" s="72"/>
      <c r="GU37" s="72"/>
      <c r="GV37" s="68"/>
      <c r="GW37" s="72"/>
      <c r="GX37" s="72"/>
      <c r="GY37" s="68"/>
      <c r="GZ37" s="72"/>
      <c r="HA37" s="72"/>
      <c r="HB37" s="68"/>
      <c r="HC37" s="72"/>
      <c r="HD37" s="72"/>
      <c r="HE37" s="68"/>
      <c r="HF37" s="72"/>
      <c r="HG37" s="72"/>
      <c r="HH37" s="68"/>
      <c r="HI37" s="72"/>
      <c r="HJ37" s="72"/>
      <c r="HK37" s="68"/>
      <c r="HL37" s="72"/>
      <c r="HM37" s="72"/>
      <c r="HN37" s="68"/>
      <c r="HO37" s="72"/>
      <c r="HP37" s="72"/>
      <c r="HQ37" s="68"/>
      <c r="HR37" s="72"/>
      <c r="HS37" s="72"/>
      <c r="HT37" s="68"/>
      <c r="HU37" s="72"/>
      <c r="HV37" s="72"/>
      <c r="HW37" s="68"/>
      <c r="HX37" s="72"/>
      <c r="HY37" s="72"/>
      <c r="HZ37" s="68"/>
      <c r="IA37" s="72"/>
      <c r="IB37" s="72"/>
      <c r="IC37" s="68"/>
      <c r="ID37" s="72"/>
      <c r="IE37" s="72"/>
      <c r="IF37" s="68"/>
      <c r="IG37" s="72"/>
      <c r="IH37" s="72"/>
      <c r="II37" s="68"/>
      <c r="IJ37" s="72"/>
      <c r="IK37" s="72"/>
      <c r="IL37" s="68"/>
      <c r="IM37" s="72"/>
      <c r="IN37" s="72"/>
      <c r="IO37" s="68"/>
      <c r="IP37" s="72"/>
      <c r="IQ37" s="72"/>
      <c r="IR37" s="68"/>
      <c r="IS37" s="72"/>
      <c r="IT37" s="72"/>
      <c r="IU37" s="68"/>
      <c r="IV37" s="72"/>
    </row>
    <row r="38" spans="1:256" ht="51">
      <c r="A38" s="72" t="s">
        <v>469</v>
      </c>
      <c r="B38" s="68" t="s">
        <v>470</v>
      </c>
      <c r="C38" s="78"/>
      <c r="D38" t="s">
        <v>394</v>
      </c>
      <c r="E38" s="68" t="s">
        <v>832</v>
      </c>
      <c r="G38" s="72"/>
      <c r="H38" s="72"/>
      <c r="I38" s="68"/>
      <c r="J38" s="72"/>
      <c r="K38" s="72"/>
      <c r="L38" s="68"/>
      <c r="M38" s="72"/>
      <c r="N38" s="72"/>
      <c r="O38" s="68"/>
      <c r="P38" s="72"/>
      <c r="Q38" s="72"/>
      <c r="R38" s="68"/>
      <c r="S38" s="72"/>
      <c r="T38" s="72"/>
      <c r="U38" s="68"/>
      <c r="V38" s="72"/>
      <c r="W38" s="72"/>
      <c r="X38" s="68"/>
      <c r="Y38" s="72"/>
      <c r="Z38" s="72"/>
      <c r="AA38" s="68"/>
      <c r="AB38" s="72"/>
      <c r="AC38" s="72"/>
      <c r="AD38" s="68"/>
      <c r="AE38" s="72"/>
      <c r="AF38" s="72"/>
      <c r="AG38" s="68"/>
      <c r="AH38" s="72"/>
      <c r="AI38" s="72"/>
      <c r="AJ38" s="68"/>
      <c r="AK38" s="72"/>
      <c r="AL38" s="72"/>
      <c r="AM38" s="68"/>
      <c r="AN38" s="72"/>
      <c r="AO38" s="72"/>
      <c r="AP38" s="68"/>
      <c r="AQ38" s="72"/>
      <c r="AR38" s="72"/>
      <c r="AS38" s="68"/>
      <c r="AT38" s="72"/>
      <c r="AU38" s="72"/>
      <c r="AV38" s="68"/>
      <c r="AW38" s="72"/>
      <c r="AX38" s="72"/>
      <c r="AY38" s="68"/>
      <c r="AZ38" s="72"/>
      <c r="BA38" s="72"/>
      <c r="BB38" s="68"/>
      <c r="BC38" s="72"/>
      <c r="BD38" s="72"/>
      <c r="BE38" s="68"/>
      <c r="BF38" s="72"/>
      <c r="BG38" s="72"/>
      <c r="BH38" s="68"/>
      <c r="BI38" s="72"/>
      <c r="BJ38" s="72"/>
      <c r="BK38" s="68"/>
      <c r="BL38" s="72"/>
      <c r="BM38" s="72"/>
      <c r="BN38" s="68"/>
      <c r="BO38" s="72"/>
      <c r="BP38" s="72"/>
      <c r="BQ38" s="68"/>
      <c r="BR38" s="72"/>
      <c r="BS38" s="72"/>
      <c r="BT38" s="68"/>
      <c r="BU38" s="72"/>
      <c r="BV38" s="72"/>
      <c r="BW38" s="68"/>
      <c r="BX38" s="72"/>
      <c r="BY38" s="72"/>
      <c r="BZ38" s="68"/>
      <c r="CA38" s="72"/>
      <c r="CB38" s="72"/>
      <c r="CC38" s="68"/>
      <c r="CD38" s="72"/>
      <c r="CE38" s="72"/>
      <c r="CF38" s="68"/>
      <c r="CG38" s="72"/>
      <c r="CH38" s="72"/>
      <c r="CI38" s="68"/>
      <c r="CJ38" s="72"/>
      <c r="CK38" s="72"/>
      <c r="CL38" s="68"/>
      <c r="CM38" s="72"/>
      <c r="CN38" s="72"/>
      <c r="CO38" s="68"/>
      <c r="CP38" s="72"/>
      <c r="CQ38" s="72"/>
      <c r="CR38" s="68"/>
      <c r="CS38" s="72"/>
      <c r="CT38" s="72"/>
      <c r="CU38" s="68"/>
      <c r="CV38" s="72"/>
      <c r="CW38" s="72"/>
      <c r="CX38" s="68"/>
      <c r="CY38" s="72"/>
      <c r="CZ38" s="72"/>
      <c r="DA38" s="68"/>
      <c r="DB38" s="72"/>
      <c r="DC38" s="72"/>
      <c r="DD38" s="68"/>
      <c r="DE38" s="72"/>
      <c r="DF38" s="72"/>
      <c r="DG38" s="68"/>
      <c r="DH38" s="72"/>
      <c r="DI38" s="72"/>
      <c r="DJ38" s="68"/>
      <c r="DK38" s="72"/>
      <c r="DL38" s="72"/>
      <c r="DM38" s="68"/>
      <c r="DN38" s="72"/>
      <c r="DO38" s="72"/>
      <c r="DP38" s="68"/>
      <c r="DQ38" s="72"/>
      <c r="DR38" s="72"/>
      <c r="DS38" s="68"/>
      <c r="DT38" s="72"/>
      <c r="DU38" s="72"/>
      <c r="DV38" s="68"/>
      <c r="DW38" s="72"/>
      <c r="DX38" s="72"/>
      <c r="DY38" s="68"/>
      <c r="DZ38" s="72"/>
      <c r="EA38" s="72"/>
      <c r="EB38" s="68"/>
      <c r="EC38" s="72"/>
      <c r="ED38" s="72"/>
      <c r="EE38" s="68"/>
      <c r="EF38" s="72"/>
      <c r="EG38" s="72"/>
      <c r="EH38" s="68"/>
      <c r="EI38" s="72"/>
      <c r="EJ38" s="72"/>
      <c r="EK38" s="68"/>
      <c r="EL38" s="72"/>
      <c r="EM38" s="72"/>
      <c r="EN38" s="68"/>
      <c r="EO38" s="72"/>
      <c r="EP38" s="72"/>
      <c r="EQ38" s="68"/>
      <c r="ER38" s="72"/>
      <c r="ES38" s="72"/>
      <c r="ET38" s="68"/>
      <c r="EU38" s="72"/>
      <c r="EV38" s="72"/>
      <c r="EW38" s="68"/>
      <c r="EX38" s="72"/>
      <c r="EY38" s="72"/>
      <c r="EZ38" s="68"/>
      <c r="FA38" s="72"/>
      <c r="FB38" s="72"/>
      <c r="FC38" s="68"/>
      <c r="FD38" s="72"/>
      <c r="FE38" s="72"/>
      <c r="FF38" s="68"/>
      <c r="FG38" s="72"/>
      <c r="FH38" s="72"/>
      <c r="FI38" s="68"/>
      <c r="FJ38" s="72"/>
      <c r="FK38" s="72"/>
      <c r="FL38" s="68"/>
      <c r="FM38" s="72"/>
      <c r="FN38" s="72"/>
      <c r="FO38" s="68"/>
      <c r="FP38" s="72"/>
      <c r="FQ38" s="72"/>
      <c r="FR38" s="68"/>
      <c r="FS38" s="72"/>
      <c r="FT38" s="72"/>
      <c r="FU38" s="68"/>
      <c r="FV38" s="72"/>
      <c r="FW38" s="72"/>
      <c r="FX38" s="68"/>
      <c r="FY38" s="72"/>
      <c r="FZ38" s="72"/>
      <c r="GA38" s="68"/>
      <c r="GB38" s="72"/>
      <c r="GC38" s="72"/>
      <c r="GD38" s="68"/>
      <c r="GE38" s="72"/>
      <c r="GF38" s="72"/>
      <c r="GG38" s="68"/>
      <c r="GH38" s="72"/>
      <c r="GI38" s="72"/>
      <c r="GJ38" s="68"/>
      <c r="GK38" s="72"/>
      <c r="GL38" s="72"/>
      <c r="GM38" s="68"/>
      <c r="GN38" s="72"/>
      <c r="GO38" s="72"/>
      <c r="GP38" s="68"/>
      <c r="GQ38" s="72"/>
      <c r="GR38" s="72"/>
      <c r="GS38" s="68"/>
      <c r="GT38" s="72"/>
      <c r="GU38" s="72"/>
      <c r="GV38" s="68"/>
      <c r="GW38" s="72"/>
      <c r="GX38" s="72"/>
      <c r="GY38" s="68"/>
      <c r="GZ38" s="72"/>
      <c r="HA38" s="72"/>
      <c r="HB38" s="68"/>
      <c r="HC38" s="72"/>
      <c r="HD38" s="72"/>
      <c r="HE38" s="68"/>
      <c r="HF38" s="72"/>
      <c r="HG38" s="72"/>
      <c r="HH38" s="68"/>
      <c r="HI38" s="72"/>
      <c r="HJ38" s="72"/>
      <c r="HK38" s="68"/>
      <c r="HL38" s="72"/>
      <c r="HM38" s="72"/>
      <c r="HN38" s="68"/>
      <c r="HO38" s="72"/>
      <c r="HP38" s="72"/>
      <c r="HQ38" s="68"/>
      <c r="HR38" s="72"/>
      <c r="HS38" s="72"/>
      <c r="HT38" s="68"/>
      <c r="HU38" s="72"/>
      <c r="HV38" s="72"/>
      <c r="HW38" s="68"/>
      <c r="HX38" s="72"/>
      <c r="HY38" s="72"/>
      <c r="HZ38" s="68"/>
      <c r="IA38" s="72"/>
      <c r="IB38" s="72"/>
      <c r="IC38" s="68"/>
      <c r="ID38" s="72"/>
      <c r="IE38" s="72"/>
      <c r="IF38" s="68"/>
      <c r="IG38" s="72"/>
      <c r="IH38" s="72"/>
      <c r="II38" s="68"/>
      <c r="IJ38" s="72"/>
      <c r="IK38" s="72"/>
      <c r="IL38" s="68"/>
      <c r="IM38" s="72"/>
      <c r="IN38" s="72"/>
      <c r="IO38" s="68"/>
      <c r="IP38" s="72"/>
      <c r="IQ38" s="72"/>
      <c r="IR38" s="68"/>
      <c r="IS38" s="72"/>
      <c r="IT38" s="72"/>
      <c r="IU38" s="68"/>
      <c r="IV38" s="72"/>
    </row>
    <row r="39" spans="1:256" ht="25.5">
      <c r="A39" s="72" t="s">
        <v>444</v>
      </c>
      <c r="B39" s="68" t="s">
        <v>471</v>
      </c>
      <c r="C39" s="78"/>
      <c r="G39" s="72"/>
      <c r="H39" s="72"/>
      <c r="I39" s="68"/>
      <c r="J39" s="72"/>
      <c r="K39" s="72"/>
      <c r="L39" s="68"/>
      <c r="M39" s="72"/>
      <c r="N39" s="72"/>
      <c r="O39" s="68"/>
      <c r="P39" s="72"/>
      <c r="Q39" s="72"/>
      <c r="R39" s="68"/>
      <c r="S39" s="72"/>
      <c r="T39" s="72"/>
      <c r="U39" s="68"/>
      <c r="V39" s="72"/>
      <c r="W39" s="72"/>
      <c r="X39" s="68"/>
      <c r="Y39" s="72"/>
      <c r="Z39" s="72"/>
      <c r="AA39" s="68"/>
      <c r="AB39" s="72"/>
      <c r="AC39" s="72"/>
      <c r="AD39" s="68"/>
      <c r="AE39" s="72"/>
      <c r="AF39" s="72"/>
      <c r="AG39" s="68"/>
      <c r="AH39" s="72"/>
      <c r="AI39" s="72"/>
      <c r="AJ39" s="68"/>
      <c r="AK39" s="72"/>
      <c r="AL39" s="72"/>
      <c r="AM39" s="68"/>
      <c r="AN39" s="72"/>
      <c r="AO39" s="72"/>
      <c r="AP39" s="68"/>
      <c r="AQ39" s="72"/>
      <c r="AR39" s="72"/>
      <c r="AS39" s="68"/>
      <c r="AT39" s="72"/>
      <c r="AU39" s="72"/>
      <c r="AV39" s="68"/>
      <c r="AW39" s="72"/>
      <c r="AX39" s="72"/>
      <c r="AY39" s="68"/>
      <c r="AZ39" s="72"/>
      <c r="BA39" s="72"/>
      <c r="BB39" s="68"/>
      <c r="BC39" s="72"/>
      <c r="BD39" s="72"/>
      <c r="BE39" s="68"/>
      <c r="BF39" s="72"/>
      <c r="BG39" s="72"/>
      <c r="BH39" s="68"/>
      <c r="BI39" s="72"/>
      <c r="BJ39" s="72"/>
      <c r="BK39" s="68"/>
      <c r="BL39" s="72"/>
      <c r="BM39" s="72"/>
      <c r="BN39" s="68"/>
      <c r="BO39" s="72"/>
      <c r="BP39" s="72"/>
      <c r="BQ39" s="68"/>
      <c r="BR39" s="72"/>
      <c r="BS39" s="72"/>
      <c r="BT39" s="68"/>
      <c r="BU39" s="72"/>
      <c r="BV39" s="72"/>
      <c r="BW39" s="68"/>
      <c r="BX39" s="72"/>
      <c r="BY39" s="72"/>
      <c r="BZ39" s="68"/>
      <c r="CA39" s="72"/>
      <c r="CB39" s="72"/>
      <c r="CC39" s="68"/>
      <c r="CD39" s="72"/>
      <c r="CE39" s="72"/>
      <c r="CF39" s="68"/>
      <c r="CG39" s="72"/>
      <c r="CH39" s="72"/>
      <c r="CI39" s="68"/>
      <c r="CJ39" s="72"/>
      <c r="CK39" s="72"/>
      <c r="CL39" s="68"/>
      <c r="CM39" s="72"/>
      <c r="CN39" s="72"/>
      <c r="CO39" s="68"/>
      <c r="CP39" s="72"/>
      <c r="CQ39" s="72"/>
      <c r="CR39" s="68"/>
      <c r="CS39" s="72"/>
      <c r="CT39" s="72"/>
      <c r="CU39" s="68"/>
      <c r="CV39" s="72"/>
      <c r="CW39" s="72"/>
      <c r="CX39" s="68"/>
      <c r="CY39" s="72"/>
      <c r="CZ39" s="72"/>
      <c r="DA39" s="68"/>
      <c r="DB39" s="72"/>
      <c r="DC39" s="72"/>
      <c r="DD39" s="68"/>
      <c r="DE39" s="72"/>
      <c r="DF39" s="72"/>
      <c r="DG39" s="68"/>
      <c r="DH39" s="72"/>
      <c r="DI39" s="72"/>
      <c r="DJ39" s="68"/>
      <c r="DK39" s="72"/>
      <c r="DL39" s="72"/>
      <c r="DM39" s="68"/>
      <c r="DN39" s="72"/>
      <c r="DO39" s="72"/>
      <c r="DP39" s="68"/>
      <c r="DQ39" s="72"/>
      <c r="DR39" s="72"/>
      <c r="DS39" s="68"/>
      <c r="DT39" s="72"/>
      <c r="DU39" s="72"/>
      <c r="DV39" s="68"/>
      <c r="DW39" s="72"/>
      <c r="DX39" s="72"/>
      <c r="DY39" s="68"/>
      <c r="DZ39" s="72"/>
      <c r="EA39" s="72"/>
      <c r="EB39" s="68"/>
      <c r="EC39" s="72"/>
      <c r="ED39" s="72"/>
      <c r="EE39" s="68"/>
      <c r="EF39" s="72"/>
      <c r="EG39" s="72"/>
      <c r="EH39" s="68"/>
      <c r="EI39" s="72"/>
      <c r="EJ39" s="72"/>
      <c r="EK39" s="68"/>
      <c r="EL39" s="72"/>
      <c r="EM39" s="72"/>
      <c r="EN39" s="68"/>
      <c r="EO39" s="72"/>
      <c r="EP39" s="72"/>
      <c r="EQ39" s="68"/>
      <c r="ER39" s="72"/>
      <c r="ES39" s="72"/>
      <c r="ET39" s="68"/>
      <c r="EU39" s="72"/>
      <c r="EV39" s="72"/>
      <c r="EW39" s="68"/>
      <c r="EX39" s="72"/>
      <c r="EY39" s="72"/>
      <c r="EZ39" s="68"/>
      <c r="FA39" s="72"/>
      <c r="FB39" s="72"/>
      <c r="FC39" s="68"/>
      <c r="FD39" s="72"/>
      <c r="FE39" s="72"/>
      <c r="FF39" s="68"/>
      <c r="FG39" s="72"/>
      <c r="FH39" s="72"/>
      <c r="FI39" s="68"/>
      <c r="FJ39" s="72"/>
      <c r="FK39" s="72"/>
      <c r="FL39" s="68"/>
      <c r="FM39" s="72"/>
      <c r="FN39" s="72"/>
      <c r="FO39" s="68"/>
      <c r="FP39" s="72"/>
      <c r="FQ39" s="72"/>
      <c r="FR39" s="68"/>
      <c r="FS39" s="72"/>
      <c r="FT39" s="72"/>
      <c r="FU39" s="68"/>
      <c r="FV39" s="72"/>
      <c r="FW39" s="72"/>
      <c r="FX39" s="68"/>
      <c r="FY39" s="72"/>
      <c r="FZ39" s="72"/>
      <c r="GA39" s="68"/>
      <c r="GB39" s="72"/>
      <c r="GC39" s="72"/>
      <c r="GD39" s="68"/>
      <c r="GE39" s="72"/>
      <c r="GF39" s="72"/>
      <c r="GG39" s="68"/>
      <c r="GH39" s="72"/>
      <c r="GI39" s="72"/>
      <c r="GJ39" s="68"/>
      <c r="GK39" s="72"/>
      <c r="GL39" s="72"/>
      <c r="GM39" s="68"/>
      <c r="GN39" s="72"/>
      <c r="GO39" s="72"/>
      <c r="GP39" s="68"/>
      <c r="GQ39" s="72"/>
      <c r="GR39" s="72"/>
      <c r="GS39" s="68"/>
      <c r="GT39" s="72"/>
      <c r="GU39" s="72"/>
      <c r="GV39" s="68"/>
      <c r="GW39" s="72"/>
      <c r="GX39" s="72"/>
      <c r="GY39" s="68"/>
      <c r="GZ39" s="72"/>
      <c r="HA39" s="72"/>
      <c r="HB39" s="68"/>
      <c r="HC39" s="72"/>
      <c r="HD39" s="72"/>
      <c r="HE39" s="68"/>
      <c r="HF39" s="72"/>
      <c r="HG39" s="72"/>
      <c r="HH39" s="68"/>
      <c r="HI39" s="72"/>
      <c r="HJ39" s="72"/>
      <c r="HK39" s="68"/>
      <c r="HL39" s="72"/>
      <c r="HM39" s="72"/>
      <c r="HN39" s="68"/>
      <c r="HO39" s="72"/>
      <c r="HP39" s="72"/>
      <c r="HQ39" s="68"/>
      <c r="HR39" s="72"/>
      <c r="HS39" s="72"/>
      <c r="HT39" s="68"/>
      <c r="HU39" s="72"/>
      <c r="HV39" s="72"/>
      <c r="HW39" s="68"/>
      <c r="HX39" s="72"/>
      <c r="HY39" s="72"/>
      <c r="HZ39" s="68"/>
      <c r="IA39" s="72"/>
      <c r="IB39" s="72"/>
      <c r="IC39" s="68"/>
      <c r="ID39" s="72"/>
      <c r="IE39" s="72"/>
      <c r="IF39" s="68"/>
      <c r="IG39" s="72"/>
      <c r="IH39" s="72"/>
      <c r="II39" s="68"/>
      <c r="IJ39" s="72"/>
      <c r="IK39" s="72"/>
      <c r="IL39" s="68"/>
      <c r="IM39" s="72"/>
      <c r="IN39" s="72"/>
      <c r="IO39" s="68"/>
      <c r="IP39" s="72"/>
      <c r="IQ39" s="72"/>
      <c r="IR39" s="68"/>
      <c r="IS39" s="72"/>
      <c r="IT39" s="72"/>
      <c r="IU39" s="68"/>
      <c r="IV39" s="72"/>
    </row>
    <row r="40" spans="1:256">
      <c r="A40" s="72" t="s">
        <v>823</v>
      </c>
      <c r="B40" s="102" t="s">
        <v>824</v>
      </c>
    </row>
    <row r="41" spans="1:256">
      <c r="A41" s="72" t="s">
        <v>823</v>
      </c>
      <c r="B41" s="102" t="s">
        <v>825</v>
      </c>
    </row>
    <row r="42" spans="1:256">
      <c r="A42" s="72" t="s">
        <v>826</v>
      </c>
      <c r="B42" s="102" t="s">
        <v>827</v>
      </c>
    </row>
    <row r="43" spans="1:256">
      <c r="A43" s="72"/>
      <c r="B43" s="102"/>
    </row>
    <row r="45" spans="1:256">
      <c r="A45" s="70" t="s">
        <v>828</v>
      </c>
      <c r="C45"/>
    </row>
    <row r="46" spans="1:256">
      <c r="A46" s="72" t="s">
        <v>818</v>
      </c>
      <c r="B46" s="68" t="s">
        <v>829</v>
      </c>
      <c r="C46" s="72"/>
    </row>
    <row r="47" spans="1:256">
      <c r="A47" s="72" t="s">
        <v>819</v>
      </c>
      <c r="B47" s="71" t="s">
        <v>829</v>
      </c>
      <c r="C47" s="72"/>
    </row>
    <row r="48" spans="1:256">
      <c r="A48" s="72" t="s">
        <v>820</v>
      </c>
      <c r="B48" s="68" t="s">
        <v>829</v>
      </c>
      <c r="C48" s="72"/>
    </row>
    <row r="49" spans="1:3" ht="25.5">
      <c r="A49" s="68" t="s">
        <v>821</v>
      </c>
      <c r="B49" s="68" t="s">
        <v>829</v>
      </c>
      <c r="C49" s="72"/>
    </row>
    <row r="50" spans="1:3">
      <c r="C50"/>
    </row>
    <row r="51" spans="1:3">
      <c r="A51" s="76" t="s">
        <v>822</v>
      </c>
      <c r="B51" s="68"/>
      <c r="C51" s="72"/>
    </row>
    <row r="52" spans="1:3">
      <c r="A52" s="72" t="s">
        <v>442</v>
      </c>
      <c r="B52" s="68" t="s">
        <v>829</v>
      </c>
      <c r="C52" s="72"/>
    </row>
    <row r="53" spans="1:3">
      <c r="A53" s="72" t="s">
        <v>469</v>
      </c>
      <c r="B53" s="68" t="s">
        <v>829</v>
      </c>
      <c r="C53" s="72"/>
    </row>
    <row r="54" spans="1:3">
      <c r="A54" s="72" t="s">
        <v>444</v>
      </c>
      <c r="B54" s="68" t="s">
        <v>829</v>
      </c>
      <c r="C54" s="72"/>
    </row>
    <row r="55" spans="1:3">
      <c r="C55"/>
    </row>
    <row r="56" spans="1:3">
      <c r="C56"/>
    </row>
    <row r="57" spans="1:3">
      <c r="C57"/>
    </row>
  </sheetData>
  <mergeCells count="1">
    <mergeCell ref="A2:D13"/>
  </mergeCells>
  <phoneticPr fontId="3" type="noConversion"/>
  <hyperlinks>
    <hyperlink ref="A2" r:id="rId1" display="Jean.Walsh@bedellgroup.com_x000a_Rebecca.Bates@bedellgroup.com"/>
    <hyperlink ref="B40" r:id="rId2"/>
    <hyperlink ref="B41" r:id="rId3"/>
    <hyperlink ref="B42" r:id="rId4"/>
  </hyperlink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codeName="Sheet12">
    <pageSetUpPr fitToPage="1"/>
  </sheetPr>
  <dimension ref="A1:S62"/>
  <sheetViews>
    <sheetView topLeftCell="A22" workbookViewId="0">
      <selection activeCell="B18" sqref="B18"/>
    </sheetView>
  </sheetViews>
  <sheetFormatPr defaultRowHeight="12.75"/>
  <cols>
    <col min="1" max="1" width="30.42578125" bestFit="1" customWidth="1"/>
    <col min="2" max="2" width="14.42578125" customWidth="1"/>
    <col min="3" max="3" width="16.28515625" bestFit="1" customWidth="1"/>
    <col min="4" max="4" width="21.28515625" customWidth="1"/>
    <col min="5" max="5" width="16.42578125" bestFit="1" customWidth="1"/>
    <col min="6" max="7" width="14" customWidth="1"/>
    <col min="8" max="8" width="30.5703125" customWidth="1"/>
    <col min="9" max="10" width="15.5703125" customWidth="1"/>
    <col min="11" max="11" width="15.5703125" bestFit="1" customWidth="1"/>
    <col min="12" max="14" width="15.5703125" customWidth="1"/>
    <col min="15" max="15" width="14.42578125" customWidth="1"/>
    <col min="16" max="16" width="22.28515625" bestFit="1" customWidth="1"/>
    <col min="17" max="17" width="11.85546875" customWidth="1"/>
    <col min="18" max="18" width="22.28515625" bestFit="1" customWidth="1"/>
    <col min="19" max="19" width="14" bestFit="1" customWidth="1"/>
  </cols>
  <sheetData>
    <row r="1" spans="1:19">
      <c r="A1" s="69" t="s">
        <v>512</v>
      </c>
    </row>
    <row r="2" spans="1:19">
      <c r="A2" s="103" t="s">
        <v>513</v>
      </c>
      <c r="B2" s="121" t="e">
        <f>+#REF!</f>
        <v>#REF!</v>
      </c>
      <c r="C2" t="e">
        <f>+#REF!</f>
        <v>#REF!</v>
      </c>
      <c r="D2" s="160" t="e">
        <f>+B2-C2</f>
        <v>#REF!</v>
      </c>
      <c r="E2" s="104"/>
    </row>
    <row r="3" spans="1:19">
      <c r="A3" s="103" t="s">
        <v>514</v>
      </c>
      <c r="B3" s="122" t="e">
        <f>+#REF!</f>
        <v>#REF!</v>
      </c>
      <c r="C3" s="103" t="e">
        <f>+#REF!</f>
        <v>#REF!</v>
      </c>
      <c r="D3" s="160" t="e">
        <f>+B3-C3</f>
        <v>#REF!</v>
      </c>
      <c r="E3" s="103"/>
      <c r="P3" t="s">
        <v>780</v>
      </c>
    </row>
    <row r="4" spans="1:19">
      <c r="A4" s="103" t="s">
        <v>515</v>
      </c>
      <c r="B4" s="121" t="e">
        <f>+#REF!</f>
        <v>#REF!</v>
      </c>
      <c r="C4" s="103" t="e">
        <f>+#REF!</f>
        <v>#REF!</v>
      </c>
      <c r="D4" s="160" t="e">
        <f>+B4-C4</f>
        <v>#REF!</v>
      </c>
      <c r="E4" s="103"/>
      <c r="O4" t="s">
        <v>439</v>
      </c>
      <c r="P4" s="157">
        <v>100000</v>
      </c>
      <c r="Q4" s="159">
        <v>1.8969</v>
      </c>
    </row>
    <row r="5" spans="1:19">
      <c r="A5" s="103" t="s">
        <v>516</v>
      </c>
      <c r="B5" s="103" t="s">
        <v>517</v>
      </c>
      <c r="C5" s="103"/>
      <c r="D5" s="103"/>
      <c r="E5" s="103"/>
      <c r="O5" t="s">
        <v>779</v>
      </c>
      <c r="P5" s="157">
        <v>50000</v>
      </c>
      <c r="Q5" s="159">
        <v>1.4907999999999999</v>
      </c>
    </row>
    <row r="6" spans="1:19">
      <c r="A6" s="105">
        <v>39406</v>
      </c>
      <c r="B6" s="105">
        <v>39314</v>
      </c>
      <c r="C6" s="103"/>
      <c r="D6" s="103"/>
      <c r="E6" s="103"/>
      <c r="O6" t="s">
        <v>441</v>
      </c>
      <c r="P6" s="157">
        <v>50000</v>
      </c>
      <c r="Q6" s="158">
        <v>1</v>
      </c>
    </row>
    <row r="7" spans="1:19">
      <c r="C7" s="103"/>
      <c r="D7" s="103"/>
      <c r="E7" s="103"/>
      <c r="R7" s="154" t="s">
        <v>518</v>
      </c>
      <c r="S7" s="107"/>
    </row>
    <row r="8" spans="1:19">
      <c r="A8" s="103" t="s">
        <v>519</v>
      </c>
      <c r="B8" s="108">
        <f>A6-B6</f>
        <v>92</v>
      </c>
      <c r="C8" s="103"/>
      <c r="D8" s="103"/>
      <c r="E8" s="103"/>
      <c r="R8" s="154" t="s">
        <v>520</v>
      </c>
      <c r="S8" s="107" t="s">
        <v>139</v>
      </c>
    </row>
    <row r="9" spans="1:19">
      <c r="A9" s="69"/>
      <c r="C9" s="103"/>
      <c r="D9" s="103"/>
      <c r="E9" s="103"/>
      <c r="R9" s="106" t="s">
        <v>440</v>
      </c>
      <c r="S9" s="109">
        <v>20977438.44444444</v>
      </c>
    </row>
    <row r="10" spans="1:19">
      <c r="B10" s="74"/>
      <c r="C10" s="104"/>
      <c r="D10" s="104"/>
      <c r="E10" s="104"/>
      <c r="H10" s="65"/>
      <c r="R10" s="110" t="s">
        <v>441</v>
      </c>
      <c r="S10" s="111">
        <v>23227729.348219182</v>
      </c>
    </row>
    <row r="11" spans="1:19" ht="26.25" thickBot="1">
      <c r="A11" s="112" t="s">
        <v>521</v>
      </c>
      <c r="B11" s="112" t="s">
        <v>522</v>
      </c>
      <c r="C11" s="112" t="s">
        <v>523</v>
      </c>
      <c r="D11" s="112" t="s">
        <v>524</v>
      </c>
      <c r="E11" s="112" t="s">
        <v>529</v>
      </c>
      <c r="F11" s="143" t="s">
        <v>530</v>
      </c>
      <c r="G11" s="112" t="s">
        <v>520</v>
      </c>
      <c r="H11" s="112" t="s">
        <v>525</v>
      </c>
      <c r="I11" s="112" t="s">
        <v>778</v>
      </c>
      <c r="J11" s="112"/>
      <c r="K11" s="112" t="s">
        <v>526</v>
      </c>
      <c r="L11" s="112"/>
      <c r="M11" s="112"/>
      <c r="N11" s="112"/>
      <c r="P11" s="112" t="s">
        <v>781</v>
      </c>
      <c r="Q11" s="112" t="s">
        <v>441</v>
      </c>
      <c r="R11" s="110" t="s">
        <v>439</v>
      </c>
      <c r="S11" s="111">
        <v>51962946.666666672</v>
      </c>
    </row>
    <row r="12" spans="1:19" ht="13.5" thickBot="1">
      <c r="A12" s="139" t="s">
        <v>11</v>
      </c>
      <c r="B12" s="138" t="e">
        <f>#REF!</f>
        <v>#REF!</v>
      </c>
      <c r="C12" s="113" t="e">
        <f>#REF!</f>
        <v>#REF!</v>
      </c>
      <c r="D12" s="114" t="e">
        <f>B12*C12</f>
        <v>#REF!</v>
      </c>
      <c r="E12" s="123">
        <v>2.9999999999999997E-4</v>
      </c>
      <c r="F12" s="133">
        <v>5.1900000000000004E-4</v>
      </c>
      <c r="G12" s="134" t="s">
        <v>439</v>
      </c>
      <c r="H12" s="150" t="e">
        <f>$B12*$B$8*(B2+E12)/360</f>
        <v>#REF!</v>
      </c>
      <c r="I12" s="155" t="e">
        <f>#REF!</f>
        <v>#REF!</v>
      </c>
      <c r="J12" s="155"/>
      <c r="K12" s="118" t="e">
        <f>D12*$B$8*($B$3+F12)/365</f>
        <v>#REF!</v>
      </c>
      <c r="L12" s="155"/>
      <c r="M12" s="155"/>
      <c r="N12" s="155"/>
      <c r="O12" s="73" t="e">
        <f>P4/B12</f>
        <v>#REF!</v>
      </c>
      <c r="P12" s="65" t="e">
        <f>O12*I12</f>
        <v>#REF!</v>
      </c>
      <c r="Q12" s="65" t="e">
        <f>P12*Q4</f>
        <v>#REF!</v>
      </c>
      <c r="R12" s="116" t="s">
        <v>527</v>
      </c>
      <c r="S12" s="117">
        <v>96168114.459330291</v>
      </c>
    </row>
    <row r="13" spans="1:19" ht="13.5" thickBot="1">
      <c r="A13" s="141" t="s">
        <v>12</v>
      </c>
      <c r="B13" s="138" t="e">
        <f>#REF!</f>
        <v>#REF!</v>
      </c>
      <c r="C13" s="113" t="e">
        <f>#REF!</f>
        <v>#REF!</v>
      </c>
      <c r="D13" s="114" t="e">
        <f t="shared" ref="D13:D27" si="0">B13*C13</f>
        <v>#REF!</v>
      </c>
      <c r="E13" s="123">
        <v>4.0000000000000002E-4</v>
      </c>
      <c r="F13" s="133">
        <v>4.3499999999999995E-4</v>
      </c>
      <c r="G13" s="134" t="s">
        <v>440</v>
      </c>
      <c r="H13" s="150" t="e">
        <f>B13*B8*(B4+E13)/360</f>
        <v>#REF!</v>
      </c>
      <c r="I13" s="155" t="e">
        <f>#REF!</f>
        <v>#REF!</v>
      </c>
      <c r="J13" s="155"/>
      <c r="K13" s="118" t="e">
        <f>D13*$B$8*($B$3+F13)/365</f>
        <v>#REF!</v>
      </c>
      <c r="L13" s="155"/>
      <c r="M13" s="155"/>
      <c r="N13" s="155"/>
      <c r="O13" s="73" t="e">
        <f>P5/B13</f>
        <v>#REF!</v>
      </c>
      <c r="P13" s="65" t="e">
        <f>O13*I13</f>
        <v>#REF!</v>
      </c>
      <c r="Q13" s="65" t="e">
        <f>P13*Q5</f>
        <v>#REF!</v>
      </c>
    </row>
    <row r="14" spans="1:19" ht="13.5" thickBot="1">
      <c r="A14" s="141" t="s">
        <v>459</v>
      </c>
      <c r="B14" s="138" t="e">
        <f>#REF!</f>
        <v>#REF!</v>
      </c>
      <c r="C14" s="113">
        <v>1</v>
      </c>
      <c r="D14" s="114" t="e">
        <f t="shared" si="0"/>
        <v>#REF!</v>
      </c>
      <c r="E14" s="123">
        <v>4.0000000000000002E-4</v>
      </c>
      <c r="F14" s="133">
        <v>4.0000000000000002E-4</v>
      </c>
      <c r="G14" s="134" t="s">
        <v>441</v>
      </c>
      <c r="H14" s="151" t="e">
        <f>B14*B8*(B3+F14)/365</f>
        <v>#REF!</v>
      </c>
      <c r="I14" s="155" t="e">
        <f>#REF!</f>
        <v>#REF!</v>
      </c>
      <c r="J14" s="156"/>
      <c r="K14" s="156"/>
      <c r="L14" s="137"/>
      <c r="M14" s="137"/>
      <c r="N14" s="137"/>
      <c r="O14" s="73" t="e">
        <f>P6/B14</f>
        <v>#REF!</v>
      </c>
      <c r="P14" s="65" t="e">
        <f>O14*I14</f>
        <v>#REF!</v>
      </c>
      <c r="Q14" s="65" t="e">
        <f>P14*Q6</f>
        <v>#REF!</v>
      </c>
    </row>
    <row r="15" spans="1:19" ht="13.5" thickBot="1">
      <c r="A15" s="139" t="s">
        <v>13</v>
      </c>
      <c r="B15" s="138" t="e">
        <f>#REF!</f>
        <v>#REF!</v>
      </c>
      <c r="C15" s="113" t="e">
        <f>#REF!</f>
        <v>#REF!</v>
      </c>
      <c r="D15" s="114" t="e">
        <f t="shared" si="0"/>
        <v>#REF!</v>
      </c>
      <c r="E15" s="123">
        <v>5.0000000000000001E-4</v>
      </c>
      <c r="F15" s="133">
        <v>8.8900000000000003E-4</v>
      </c>
      <c r="G15" s="135" t="s">
        <v>439</v>
      </c>
      <c r="H15" s="150" t="e">
        <f>$B15*$B$8*(B2+E15)/360</f>
        <v>#REF!</v>
      </c>
      <c r="I15" s="155"/>
      <c r="J15" s="155"/>
      <c r="K15" s="118" t="e">
        <f>D15*$B$8*($B$3+F15)/365</f>
        <v>#REF!</v>
      </c>
      <c r="L15" s="155"/>
      <c r="M15" s="155"/>
      <c r="N15" s="155"/>
    </row>
    <row r="16" spans="1:19" ht="13.5" thickBot="1">
      <c r="A16" s="141" t="s">
        <v>14</v>
      </c>
      <c r="B16" s="138" t="e">
        <f>#REF!</f>
        <v>#REF!</v>
      </c>
      <c r="C16" s="113" t="e">
        <f>#REF!</f>
        <v>#REF!</v>
      </c>
      <c r="D16" s="114" t="e">
        <f t="shared" si="0"/>
        <v>#REF!</v>
      </c>
      <c r="E16" s="123">
        <v>1E-3</v>
      </c>
      <c r="F16" s="133">
        <v>1.2819999999999999E-3</v>
      </c>
      <c r="G16" s="135" t="s">
        <v>440</v>
      </c>
      <c r="H16" s="150" t="e">
        <f>B16*B8*(B4+E16)/360</f>
        <v>#REF!</v>
      </c>
      <c r="I16" s="155"/>
      <c r="J16" s="155"/>
      <c r="K16" s="118" t="e">
        <f>D16*$B$8*($B$3+F16)/365</f>
        <v>#REF!</v>
      </c>
      <c r="L16" s="155"/>
      <c r="M16" s="155"/>
      <c r="N16" s="155"/>
    </row>
    <row r="17" spans="1:18" ht="13.5" thickBot="1">
      <c r="A17" s="140" t="s">
        <v>15</v>
      </c>
      <c r="B17" s="138" t="e">
        <f>#REF!</f>
        <v>#REF!</v>
      </c>
      <c r="C17" s="113" t="e">
        <f>#REF!</f>
        <v>#REF!</v>
      </c>
      <c r="D17" s="114" t="e">
        <f t="shared" si="0"/>
        <v>#REF!</v>
      </c>
      <c r="E17" s="123">
        <v>1E-3</v>
      </c>
      <c r="F17" s="133">
        <v>1.4519999999999999E-3</v>
      </c>
      <c r="G17" s="135" t="s">
        <v>439</v>
      </c>
      <c r="H17" s="150" t="e">
        <f>B17*B8*(B2+E17)/360</f>
        <v>#REF!</v>
      </c>
      <c r="I17" s="155"/>
      <c r="J17" s="155"/>
      <c r="K17" s="118" t="e">
        <f>D17*$B$8*($B$3+F17)/365</f>
        <v>#REF!</v>
      </c>
      <c r="L17" s="155"/>
      <c r="M17" s="155"/>
      <c r="N17" s="155"/>
    </row>
    <row r="18" spans="1:18" ht="13.5" thickBot="1">
      <c r="A18" s="141" t="s">
        <v>10</v>
      </c>
      <c r="B18" s="138" t="e">
        <f>#REF!</f>
        <v>#REF!</v>
      </c>
      <c r="C18" s="113">
        <v>1</v>
      </c>
      <c r="D18" s="114" t="e">
        <f t="shared" si="0"/>
        <v>#REF!</v>
      </c>
      <c r="E18" s="123">
        <v>1.1000000000000001E-3</v>
      </c>
      <c r="F18" s="133">
        <v>1.1000000000000001E-3</v>
      </c>
      <c r="G18" s="134" t="s">
        <v>441</v>
      </c>
      <c r="H18" s="152" t="e">
        <f>$B18*$B$8*(B3+F18)/365</f>
        <v>#REF!</v>
      </c>
      <c r="I18" s="144"/>
      <c r="J18" s="144"/>
      <c r="K18" s="115"/>
      <c r="L18" s="144"/>
      <c r="M18" s="144"/>
      <c r="N18" s="144"/>
    </row>
    <row r="19" spans="1:18" ht="13.5" thickBot="1">
      <c r="A19" s="142" t="s">
        <v>16</v>
      </c>
      <c r="B19" s="138" t="e">
        <f>#REF!</f>
        <v>#REF!</v>
      </c>
      <c r="C19" s="113" t="e">
        <f>#REF!</f>
        <v>#REF!</v>
      </c>
      <c r="D19" s="114" t="e">
        <f t="shared" si="0"/>
        <v>#REF!</v>
      </c>
      <c r="E19" s="123">
        <v>1E-3</v>
      </c>
      <c r="F19" s="133">
        <v>1.3210000000000001E-3</v>
      </c>
      <c r="G19" s="136" t="s">
        <v>439</v>
      </c>
      <c r="H19" s="150" t="e">
        <f>B19*B8*($B$2+E19)/360</f>
        <v>#REF!</v>
      </c>
      <c r="I19" s="155"/>
      <c r="J19" s="155"/>
      <c r="K19" s="118" t="e">
        <f>D19*$B$8*($B$3+F19)/365</f>
        <v>#REF!</v>
      </c>
      <c r="L19" s="155"/>
      <c r="M19" s="155"/>
      <c r="N19" s="155"/>
    </row>
    <row r="20" spans="1:18" ht="13.5" thickBot="1">
      <c r="A20" s="141" t="s">
        <v>17</v>
      </c>
      <c r="B20" s="138" t="e">
        <f>#REF!</f>
        <v>#REF!</v>
      </c>
      <c r="C20" s="113" t="e">
        <f>#REF!</f>
        <v>#REF!</v>
      </c>
      <c r="D20" s="114" t="e">
        <f t="shared" si="0"/>
        <v>#REF!</v>
      </c>
      <c r="E20" s="123">
        <v>1.8E-3</v>
      </c>
      <c r="F20" s="133">
        <v>2.1410000000000001E-3</v>
      </c>
      <c r="G20" s="136" t="s">
        <v>440</v>
      </c>
      <c r="H20" s="150" t="e">
        <f>B20*B8*($B$4+E20)/360</f>
        <v>#REF!</v>
      </c>
      <c r="I20" s="155"/>
      <c r="J20" s="155"/>
      <c r="K20" s="118" t="e">
        <f>D20*$B$8*($B$3+F20)/365</f>
        <v>#REF!</v>
      </c>
      <c r="L20" s="155"/>
      <c r="M20" s="155"/>
      <c r="N20" s="155"/>
    </row>
    <row r="21" spans="1:18" ht="13.5" thickBot="1">
      <c r="A21" s="142" t="s">
        <v>18</v>
      </c>
      <c r="B21" s="138" t="e">
        <f>#REF!</f>
        <v>#REF!</v>
      </c>
      <c r="C21" s="113">
        <v>1</v>
      </c>
      <c r="D21" s="114" t="e">
        <f t="shared" si="0"/>
        <v>#REF!</v>
      </c>
      <c r="E21" s="123">
        <v>1.8E-3</v>
      </c>
      <c r="F21" s="133">
        <v>1.8E-3</v>
      </c>
      <c r="G21" s="136" t="s">
        <v>441</v>
      </c>
      <c r="H21" s="152" t="e">
        <f>$B21*$B$8*(B3+F21)/365</f>
        <v>#REF!</v>
      </c>
      <c r="I21" s="144"/>
      <c r="J21" s="144"/>
      <c r="K21" s="115"/>
      <c r="L21" s="144"/>
      <c r="M21" s="144"/>
      <c r="N21" s="144"/>
    </row>
    <row r="22" spans="1:18" ht="13.5" thickBot="1">
      <c r="A22" s="141" t="s">
        <v>19</v>
      </c>
      <c r="B22" s="138" t="e">
        <f>#REF!</f>
        <v>#REF!</v>
      </c>
      <c r="C22" s="113" t="e">
        <f>#REF!</f>
        <v>#REF!</v>
      </c>
      <c r="D22" s="114" t="e">
        <f t="shared" si="0"/>
        <v>#REF!</v>
      </c>
      <c r="E22" s="123">
        <v>1.8E-3</v>
      </c>
      <c r="F22" s="133">
        <v>2.1440000000000001E-3</v>
      </c>
      <c r="G22" s="135" t="s">
        <v>439</v>
      </c>
      <c r="H22" s="150" t="e">
        <f>B22*B8*($B$2+E22)/360</f>
        <v>#REF!</v>
      </c>
      <c r="I22" s="155"/>
      <c r="J22" s="155"/>
      <c r="K22" s="118" t="e">
        <f>D22*$B$8*($B$3+F22)/365</f>
        <v>#REF!</v>
      </c>
      <c r="L22" s="155"/>
      <c r="M22" s="155"/>
      <c r="N22" s="155"/>
    </row>
    <row r="23" spans="1:18" ht="13.5" thickBot="1">
      <c r="A23" s="142" t="s">
        <v>20</v>
      </c>
      <c r="B23" s="138" t="e">
        <f>#REF!</f>
        <v>#REF!</v>
      </c>
      <c r="C23" s="113" t="e">
        <f>#REF!</f>
        <v>#REF!</v>
      </c>
      <c r="D23" s="114" t="e">
        <f t="shared" si="0"/>
        <v>#REF!</v>
      </c>
      <c r="E23" s="123">
        <v>2.7000000000000001E-3</v>
      </c>
      <c r="F23" s="133">
        <v>3.1120000000000002E-3</v>
      </c>
      <c r="G23" s="134" t="s">
        <v>440</v>
      </c>
      <c r="H23" s="150" t="e">
        <f>B23*B8*($B$4+E23)/360</f>
        <v>#REF!</v>
      </c>
      <c r="I23" s="155"/>
      <c r="J23" s="155"/>
      <c r="K23" s="118" t="e">
        <f>D23*$B$8*($B$3+F23)/365</f>
        <v>#REF!</v>
      </c>
      <c r="L23" s="155"/>
      <c r="M23" s="155"/>
      <c r="N23" s="155"/>
    </row>
    <row r="24" spans="1:18" ht="13.5" thickBot="1">
      <c r="A24" s="141" t="s">
        <v>21</v>
      </c>
      <c r="B24" s="138" t="e">
        <f>#REF!</f>
        <v>#REF!</v>
      </c>
      <c r="C24" s="113">
        <v>1</v>
      </c>
      <c r="D24" s="114" t="e">
        <f t="shared" si="0"/>
        <v>#REF!</v>
      </c>
      <c r="E24" s="123">
        <v>2.7000000000000001E-3</v>
      </c>
      <c r="F24" s="133">
        <v>2.7000000000000001E-3</v>
      </c>
      <c r="G24" s="134" t="s">
        <v>441</v>
      </c>
      <c r="H24" s="152" t="e">
        <f>$B24*$B$8*(B3+F24)/365</f>
        <v>#REF!</v>
      </c>
      <c r="I24" s="144"/>
      <c r="J24" s="144"/>
      <c r="K24" s="115"/>
      <c r="L24" s="144"/>
      <c r="M24" s="144"/>
      <c r="N24" s="144"/>
      <c r="R24" s="65"/>
    </row>
    <row r="25" spans="1:18" ht="13.5" thickBot="1">
      <c r="A25" s="141" t="s">
        <v>22</v>
      </c>
      <c r="B25" s="138" t="e">
        <f>#REF!</f>
        <v>#REF!</v>
      </c>
      <c r="C25" s="113" t="e">
        <f>#REF!</f>
        <v>#REF!</v>
      </c>
      <c r="D25" s="114" t="e">
        <f t="shared" si="0"/>
        <v>#REF!</v>
      </c>
      <c r="E25" s="123">
        <v>4.7000000000000002E-3</v>
      </c>
      <c r="F25" s="133">
        <v>5.3039999999999997E-3</v>
      </c>
      <c r="G25" s="134" t="s">
        <v>439</v>
      </c>
      <c r="H25" s="150" t="e">
        <f>B25*B8*($B$2+E25)/360</f>
        <v>#REF!</v>
      </c>
      <c r="I25" s="155"/>
      <c r="J25" s="155"/>
      <c r="K25" s="118" t="e">
        <f>D25*$B$8*($B$3+F25)/365</f>
        <v>#REF!</v>
      </c>
      <c r="L25" s="155"/>
      <c r="M25" s="155"/>
      <c r="N25" s="155"/>
    </row>
    <row r="26" spans="1:18" ht="13.5" thickBot="1">
      <c r="A26" s="140" t="s">
        <v>26</v>
      </c>
      <c r="B26" s="138" t="e">
        <f>#REF!</f>
        <v>#REF!</v>
      </c>
      <c r="C26" s="113" t="e">
        <f>#REF!</f>
        <v>#REF!</v>
      </c>
      <c r="D26" s="114" t="e">
        <f t="shared" si="0"/>
        <v>#REF!</v>
      </c>
      <c r="E26" s="123">
        <v>4.7000000000000002E-3</v>
      </c>
      <c r="F26" s="133">
        <v>5.254E-3</v>
      </c>
      <c r="G26" s="136" t="s">
        <v>440</v>
      </c>
      <c r="H26" s="150" t="e">
        <f>$B26*$B$8*($B$4+E26)/360</f>
        <v>#REF!</v>
      </c>
      <c r="I26" s="155"/>
      <c r="J26" s="155"/>
      <c r="K26" s="118" t="e">
        <f>D26*$B$8*($B$3+F26)/365</f>
        <v>#REF!</v>
      </c>
      <c r="L26" s="155"/>
      <c r="M26" s="155"/>
      <c r="N26" s="155"/>
    </row>
    <row r="27" spans="1:18" ht="13.5" thickBot="1">
      <c r="A27" s="141" t="s">
        <v>27</v>
      </c>
      <c r="B27" s="138" t="e">
        <f>#REF!</f>
        <v>#REF!</v>
      </c>
      <c r="C27" s="113">
        <v>1</v>
      </c>
      <c r="D27" s="114" t="e">
        <f t="shared" si="0"/>
        <v>#REF!</v>
      </c>
      <c r="E27" s="123">
        <v>4.7000000000000002E-3</v>
      </c>
      <c r="F27" s="133">
        <v>4.7000000000000002E-3</v>
      </c>
      <c r="G27" s="135" t="s">
        <v>441</v>
      </c>
      <c r="H27" s="153" t="e">
        <f>$B27*$B$8*(B3+F27)/365</f>
        <v>#REF!</v>
      </c>
      <c r="I27" s="144"/>
      <c r="J27" s="144"/>
      <c r="K27" s="115"/>
      <c r="L27" s="144"/>
      <c r="M27" s="144"/>
      <c r="N27" s="144"/>
    </row>
    <row r="28" spans="1:18" ht="13.5" thickBot="1">
      <c r="A28" s="124"/>
      <c r="B28" s="145"/>
      <c r="C28" s="146"/>
      <c r="D28" s="145"/>
      <c r="E28" s="147"/>
      <c r="F28" s="147"/>
      <c r="G28" s="134" t="s">
        <v>535</v>
      </c>
      <c r="H28" s="148" t="e">
        <f>SUM(H12:H27)</f>
        <v>#REF!</v>
      </c>
      <c r="I28" s="144"/>
      <c r="J28" s="144"/>
      <c r="K28" s="144"/>
      <c r="L28" s="144"/>
      <c r="M28" s="144"/>
      <c r="N28" s="144"/>
    </row>
    <row r="29" spans="1:18">
      <c r="H29" s="119" t="s">
        <v>528</v>
      </c>
      <c r="I29" s="120"/>
      <c r="J29" s="120"/>
      <c r="K29" s="120" t="e">
        <f>SUM(K12:K27)</f>
        <v>#REF!</v>
      </c>
      <c r="L29" s="120"/>
      <c r="M29" s="120"/>
      <c r="N29" s="120"/>
    </row>
    <row r="30" spans="1:18">
      <c r="H30" s="104"/>
      <c r="I30" s="149"/>
      <c r="J30" s="149"/>
      <c r="K30" s="149"/>
      <c r="L30" s="149"/>
      <c r="M30" s="149"/>
      <c r="N30" s="149"/>
    </row>
    <row r="31" spans="1:18">
      <c r="A31" s="124"/>
      <c r="B31" s="124"/>
      <c r="C31" s="124"/>
      <c r="D31" s="124"/>
      <c r="E31" s="124"/>
      <c r="F31" s="124"/>
      <c r="G31" s="124"/>
      <c r="H31" s="124"/>
    </row>
    <row r="32" spans="1:18" ht="13.5" thickBot="1">
      <c r="A32" s="125"/>
      <c r="B32" s="126"/>
      <c r="C32" s="125"/>
      <c r="D32" s="125"/>
      <c r="E32" s="125"/>
      <c r="F32" s="125"/>
      <c r="G32" s="175" t="s">
        <v>438</v>
      </c>
      <c r="H32" s="124"/>
    </row>
    <row r="33" spans="1:18" ht="13.5" thickBot="1">
      <c r="A33" s="139" t="s">
        <v>759</v>
      </c>
      <c r="B33" s="138" t="e">
        <f>#REF!</f>
        <v>#REF!</v>
      </c>
      <c r="C33" s="113" t="e">
        <f>#REF!</f>
        <v>#REF!</v>
      </c>
      <c r="D33" s="114" t="e">
        <f>C33*B33</f>
        <v>#REF!</v>
      </c>
      <c r="E33" s="123">
        <v>2.9999999999999997E-4</v>
      </c>
      <c r="F33" s="133">
        <v>5.1000000000000004E-4</v>
      </c>
      <c r="G33" s="134" t="s">
        <v>439</v>
      </c>
      <c r="H33" s="150" t="e">
        <f>B33*$B$8*($B$2+F33)/360</f>
        <v>#REF!</v>
      </c>
      <c r="I33" s="155" t="e">
        <f>#REF!</f>
        <v>#REF!</v>
      </c>
      <c r="J33" s="155"/>
      <c r="K33" s="118" t="e">
        <f>D33*$B$8*($B$3+F33)/365</f>
        <v>#REF!</v>
      </c>
      <c r="L33" s="155"/>
    </row>
    <row r="34" spans="1:18" ht="13.5" thickBot="1">
      <c r="A34" s="139" t="s">
        <v>760</v>
      </c>
      <c r="B34" s="138" t="e">
        <f>#REF!</f>
        <v>#REF!</v>
      </c>
      <c r="C34" s="113" t="e">
        <f>#REF!</f>
        <v>#REF!</v>
      </c>
      <c r="D34" s="114" t="e">
        <f t="shared" ref="D34:D49" si="1">C34*B34</f>
        <v>#REF!</v>
      </c>
      <c r="E34" s="123">
        <v>4.0000000000000002E-4</v>
      </c>
      <c r="F34" s="133">
        <v>4.2900000000000002E-4</v>
      </c>
      <c r="G34" s="134" t="s">
        <v>440</v>
      </c>
      <c r="H34" s="150" t="e">
        <f>B34*$B$8*($B$4+F34)/360</f>
        <v>#REF!</v>
      </c>
      <c r="I34" s="155" t="e">
        <f>#REF!</f>
        <v>#REF!</v>
      </c>
      <c r="J34" s="155"/>
      <c r="K34" s="260" t="e">
        <f t="shared" ref="K34:K48" si="2">D34*$B$8*($B$3+F34)/365</f>
        <v>#REF!</v>
      </c>
      <c r="L34" s="155"/>
    </row>
    <row r="35" spans="1:18" ht="13.5" thickBot="1">
      <c r="A35" s="141" t="s">
        <v>761</v>
      </c>
      <c r="B35" s="138" t="e">
        <f>#REF!</f>
        <v>#REF!</v>
      </c>
      <c r="C35" s="113">
        <v>1</v>
      </c>
      <c r="D35" s="114" t="e">
        <f t="shared" si="1"/>
        <v>#REF!</v>
      </c>
      <c r="E35" s="123">
        <v>4.0000000000000002E-4</v>
      </c>
      <c r="F35" s="133">
        <v>4.0000000000000002E-4</v>
      </c>
      <c r="G35" s="134" t="s">
        <v>441</v>
      </c>
      <c r="H35" s="152" t="e">
        <f>B35*$B$8*($B$3+F35)/365</f>
        <v>#REF!</v>
      </c>
      <c r="I35" s="144" t="e">
        <f>#REF!</f>
        <v>#REF!</v>
      </c>
      <c r="J35" s="144"/>
      <c r="K35" s="115"/>
      <c r="L35" s="144"/>
      <c r="R35" s="65"/>
    </row>
    <row r="36" spans="1:18" ht="13.5" thickBot="1">
      <c r="A36" s="141" t="s">
        <v>762</v>
      </c>
      <c r="B36" s="138" t="e">
        <f>#REF!</f>
        <v>#REF!</v>
      </c>
      <c r="C36" s="113" t="e">
        <f>#REF!</f>
        <v>#REF!</v>
      </c>
      <c r="D36" s="114" t="e">
        <f t="shared" si="1"/>
        <v>#REF!</v>
      </c>
      <c r="E36" s="123">
        <v>4.0000000000000002E-4</v>
      </c>
      <c r="F36" s="133">
        <v>7.2000000000000005E-4</v>
      </c>
      <c r="G36" s="134" t="s">
        <v>439</v>
      </c>
      <c r="H36" s="150" t="e">
        <f>B36*$B$8*($B$2+F36)/360</f>
        <v>#REF!</v>
      </c>
      <c r="I36" s="155"/>
      <c r="J36" s="155"/>
      <c r="K36" s="118" t="e">
        <f t="shared" si="2"/>
        <v>#REF!</v>
      </c>
      <c r="L36" s="155"/>
    </row>
    <row r="37" spans="1:18" ht="13.5" thickBot="1">
      <c r="A37" s="139" t="s">
        <v>763</v>
      </c>
      <c r="B37" s="138" t="e">
        <f>#REF!</f>
        <v>#REF!</v>
      </c>
      <c r="C37" s="113" t="e">
        <f>#REF!</f>
        <v>#REF!</v>
      </c>
      <c r="D37" s="114" t="e">
        <f t="shared" si="1"/>
        <v>#REF!</v>
      </c>
      <c r="E37" s="123">
        <v>5.0000000000000001E-4</v>
      </c>
      <c r="F37" s="133">
        <v>6.6200000000000005E-4</v>
      </c>
      <c r="G37" s="135" t="s">
        <v>440</v>
      </c>
      <c r="H37" s="150" t="e">
        <f>B37*$B$8*($B$4+F37)/360</f>
        <v>#REF!</v>
      </c>
      <c r="I37" s="155"/>
      <c r="J37" s="155"/>
      <c r="K37" s="118" t="e">
        <f t="shared" si="2"/>
        <v>#REF!</v>
      </c>
      <c r="L37" s="155"/>
    </row>
    <row r="38" spans="1:18" ht="13.5" thickBot="1">
      <c r="A38" s="141" t="s">
        <v>764</v>
      </c>
      <c r="B38" s="138" t="e">
        <f>#REF!</f>
        <v>#REF!</v>
      </c>
      <c r="C38" s="113" t="e">
        <f>#REF!</f>
        <v>#REF!</v>
      </c>
      <c r="D38" s="114" t="e">
        <f t="shared" si="1"/>
        <v>#REF!</v>
      </c>
      <c r="E38" s="123">
        <v>8.0000000000000004E-4</v>
      </c>
      <c r="F38" s="133">
        <v>1.199E-3</v>
      </c>
      <c r="G38" s="135" t="s">
        <v>439</v>
      </c>
      <c r="H38" s="150" t="e">
        <f>B38*$B$8*($B$2+F38)/360</f>
        <v>#REF!</v>
      </c>
      <c r="I38" s="155"/>
      <c r="J38" s="155"/>
      <c r="K38" s="118" t="e">
        <f t="shared" si="2"/>
        <v>#REF!</v>
      </c>
      <c r="L38" s="155"/>
    </row>
    <row r="39" spans="1:18" ht="13.5" thickBot="1">
      <c r="A39" s="140" t="s">
        <v>765</v>
      </c>
      <c r="B39" s="138" t="e">
        <f>#REF!</f>
        <v>#REF!</v>
      </c>
      <c r="C39" s="113" t="e">
        <f>#REF!</f>
        <v>#REF!</v>
      </c>
      <c r="D39" s="114" t="e">
        <f t="shared" si="1"/>
        <v>#REF!</v>
      </c>
      <c r="E39" s="123">
        <v>1E-3</v>
      </c>
      <c r="F39" s="133">
        <v>1.266E-3</v>
      </c>
      <c r="G39" s="135" t="s">
        <v>440</v>
      </c>
      <c r="H39" s="150" t="e">
        <f>B39*$B$8*($B$4+F39)/360</f>
        <v>#REF!</v>
      </c>
      <c r="I39" s="155"/>
      <c r="J39" s="155"/>
      <c r="K39" s="118" t="e">
        <f t="shared" si="2"/>
        <v>#REF!</v>
      </c>
      <c r="L39" s="155"/>
    </row>
    <row r="40" spans="1:18" ht="13.5" thickBot="1">
      <c r="A40" s="141" t="s">
        <v>766</v>
      </c>
      <c r="B40" s="138" t="e">
        <f>#REF!</f>
        <v>#REF!</v>
      </c>
      <c r="C40" s="113">
        <v>1</v>
      </c>
      <c r="D40" s="114" t="e">
        <f t="shared" si="1"/>
        <v>#REF!</v>
      </c>
      <c r="E40" s="123">
        <v>1E-3</v>
      </c>
      <c r="F40" s="133">
        <v>1E-3</v>
      </c>
      <c r="G40" s="134" t="s">
        <v>441</v>
      </c>
      <c r="H40" s="152" t="e">
        <f>B40*$B$8*($B$3+F40)/365</f>
        <v>#REF!</v>
      </c>
      <c r="I40" s="144"/>
      <c r="J40" s="144"/>
      <c r="K40" s="115"/>
      <c r="L40" s="144"/>
      <c r="R40" s="65"/>
    </row>
    <row r="41" spans="1:18" ht="13.5" thickBot="1">
      <c r="A41" s="142" t="s">
        <v>767</v>
      </c>
      <c r="B41" s="138" t="e">
        <f>#REF!</f>
        <v>#REF!</v>
      </c>
      <c r="C41" s="113" t="e">
        <f>#REF!</f>
        <v>#REF!</v>
      </c>
      <c r="D41" s="114" t="e">
        <f t="shared" si="1"/>
        <v>#REF!</v>
      </c>
      <c r="E41" s="123">
        <v>8.0000000000000004E-4</v>
      </c>
      <c r="F41" s="133">
        <v>1.1100000000000001E-3</v>
      </c>
      <c r="G41" s="136" t="s">
        <v>439</v>
      </c>
      <c r="H41" s="150" t="e">
        <f>B41*$B$8*($B$2+F41)/360</f>
        <v>#REF!</v>
      </c>
      <c r="I41" s="155"/>
      <c r="J41" s="155"/>
      <c r="K41" s="118" t="e">
        <f t="shared" si="2"/>
        <v>#REF!</v>
      </c>
      <c r="L41" s="155"/>
    </row>
    <row r="42" spans="1:18" ht="13.5" thickBot="1">
      <c r="A42" s="141" t="s">
        <v>768</v>
      </c>
      <c r="B42" s="138" t="e">
        <f>#REF!</f>
        <v>#REF!</v>
      </c>
      <c r="C42" s="113" t="e">
        <f>#REF!</f>
        <v>#REF!</v>
      </c>
      <c r="D42" s="114" t="e">
        <f t="shared" si="1"/>
        <v>#REF!</v>
      </c>
      <c r="E42" s="123">
        <v>1.4E-3</v>
      </c>
      <c r="F42" s="133">
        <v>1.624E-3</v>
      </c>
      <c r="G42" s="136" t="s">
        <v>440</v>
      </c>
      <c r="H42" s="150" t="e">
        <f>B42*$B$8*($B$4+F42)/360</f>
        <v>#REF!</v>
      </c>
      <c r="I42" s="155"/>
      <c r="J42" s="155"/>
      <c r="K42" s="118" t="e">
        <f t="shared" si="2"/>
        <v>#REF!</v>
      </c>
      <c r="L42" s="155"/>
    </row>
    <row r="43" spans="1:18" ht="13.5" thickBot="1">
      <c r="A43" s="141" t="s">
        <v>769</v>
      </c>
      <c r="B43" s="138" t="e">
        <f>#REF!</f>
        <v>#REF!</v>
      </c>
      <c r="C43" s="113">
        <v>1</v>
      </c>
      <c r="D43" s="114" t="e">
        <f t="shared" si="1"/>
        <v>#REF!</v>
      </c>
      <c r="E43" s="123">
        <v>1.4E-3</v>
      </c>
      <c r="F43" s="133">
        <v>1.4E-3</v>
      </c>
      <c r="G43" s="134" t="s">
        <v>441</v>
      </c>
      <c r="H43" s="152" t="e">
        <f>B43*$B$8*($B$3+F43)/365</f>
        <v>#REF!</v>
      </c>
      <c r="I43" s="144" t="s">
        <v>639</v>
      </c>
      <c r="J43" s="144"/>
      <c r="K43" s="115"/>
      <c r="L43" s="144"/>
      <c r="R43" s="65"/>
    </row>
    <row r="44" spans="1:18" ht="13.5" thickBot="1">
      <c r="A44" s="141" t="s">
        <v>770</v>
      </c>
      <c r="B44" s="138" t="e">
        <f>#REF!</f>
        <v>#REF!</v>
      </c>
      <c r="C44" s="113" t="e">
        <f>#REF!</f>
        <v>#REF!</v>
      </c>
      <c r="D44" s="114" t="e">
        <f t="shared" si="1"/>
        <v>#REF!</v>
      </c>
      <c r="E44" s="123">
        <v>1.6000000000000001E-3</v>
      </c>
      <c r="F44" s="133">
        <v>1.9369999999999999E-3</v>
      </c>
      <c r="G44" s="135" t="s">
        <v>439</v>
      </c>
      <c r="H44" s="150" t="e">
        <f>B44*$B$8*($B$2+F44)/360</f>
        <v>#REF!</v>
      </c>
      <c r="I44" s="155"/>
      <c r="J44" s="155"/>
      <c r="K44" s="118" t="e">
        <f t="shared" si="2"/>
        <v>#REF!</v>
      </c>
      <c r="L44" s="155"/>
    </row>
    <row r="45" spans="1:18" ht="13.5" thickBot="1">
      <c r="A45" s="142" t="s">
        <v>771</v>
      </c>
      <c r="B45" s="138" t="e">
        <f>#REF!</f>
        <v>#REF!</v>
      </c>
      <c r="C45" s="113" t="e">
        <f>#REF!</f>
        <v>#REF!</v>
      </c>
      <c r="D45" s="114" t="e">
        <f t="shared" si="1"/>
        <v>#REF!</v>
      </c>
      <c r="E45" s="123">
        <v>2.3E-3</v>
      </c>
      <c r="F45" s="133">
        <v>2.5769999999999999E-3</v>
      </c>
      <c r="G45" s="134" t="s">
        <v>440</v>
      </c>
      <c r="H45" s="150" t="e">
        <f>B45*$B$8*($B$4+F45)/360</f>
        <v>#REF!</v>
      </c>
      <c r="I45" s="155"/>
      <c r="J45" s="155"/>
      <c r="K45" s="118" t="e">
        <f t="shared" si="2"/>
        <v>#REF!</v>
      </c>
      <c r="L45" s="155"/>
    </row>
    <row r="46" spans="1:18" ht="13.5" thickBot="1">
      <c r="A46" s="141" t="s">
        <v>772</v>
      </c>
      <c r="B46" s="138" t="e">
        <f>#REF!</f>
        <v>#REF!</v>
      </c>
      <c r="C46" s="113">
        <v>1</v>
      </c>
      <c r="D46" s="114" t="e">
        <f t="shared" si="1"/>
        <v>#REF!</v>
      </c>
      <c r="E46" s="123">
        <v>2.3E-3</v>
      </c>
      <c r="F46" s="133">
        <v>2.3E-3</v>
      </c>
      <c r="G46" s="134" t="s">
        <v>441</v>
      </c>
      <c r="H46" s="152" t="e">
        <f>B46*$B$8*($B$3+F46)/365</f>
        <v>#REF!</v>
      </c>
      <c r="I46" s="144"/>
      <c r="J46" s="144"/>
      <c r="K46" s="115"/>
      <c r="L46" s="144"/>
      <c r="R46" s="65"/>
    </row>
    <row r="47" spans="1:18" ht="13.5" thickBot="1">
      <c r="A47" s="141" t="s">
        <v>773</v>
      </c>
      <c r="B47" s="138" t="e">
        <f>#REF!</f>
        <v>#REF!</v>
      </c>
      <c r="C47" s="113" t="e">
        <f>#REF!</f>
        <v>#REF!</v>
      </c>
      <c r="D47" s="114" t="e">
        <f t="shared" si="1"/>
        <v>#REF!</v>
      </c>
      <c r="E47" s="123">
        <v>3.8999999999999998E-3</v>
      </c>
      <c r="F47" s="133">
        <v>4.3680000000000004E-3</v>
      </c>
      <c r="G47" s="134" t="s">
        <v>439</v>
      </c>
      <c r="H47" s="150" t="e">
        <f>B47*$B$8*($B$2+F47)/360</f>
        <v>#REF!</v>
      </c>
      <c r="I47" s="155"/>
      <c r="J47" s="155"/>
      <c r="K47" s="118" t="e">
        <f t="shared" si="2"/>
        <v>#REF!</v>
      </c>
      <c r="L47" s="155"/>
    </row>
    <row r="48" spans="1:18" ht="13.5" thickBot="1">
      <c r="A48" s="140" t="s">
        <v>774</v>
      </c>
      <c r="B48" s="138" t="e">
        <f>#REF!</f>
        <v>#REF!</v>
      </c>
      <c r="C48" s="113" t="e">
        <f>#REF!</f>
        <v>#REF!</v>
      </c>
      <c r="D48" s="114" t="e">
        <f t="shared" si="1"/>
        <v>#REF!</v>
      </c>
      <c r="E48" s="123">
        <v>4.0000000000000001E-3</v>
      </c>
      <c r="F48" s="133">
        <v>4.3550000000000004E-3</v>
      </c>
      <c r="G48" s="136" t="s">
        <v>440</v>
      </c>
      <c r="H48" s="150" t="e">
        <f>B48*$B$8*($B$4+F48)/360</f>
        <v>#REF!</v>
      </c>
      <c r="I48" s="155"/>
      <c r="J48" s="155"/>
      <c r="K48" s="118" t="e">
        <f t="shared" si="2"/>
        <v>#REF!</v>
      </c>
      <c r="L48" s="155"/>
    </row>
    <row r="49" spans="1:18" ht="13.5" thickBot="1">
      <c r="A49" s="141" t="s">
        <v>775</v>
      </c>
      <c r="B49" s="138" t="e">
        <f>#REF!</f>
        <v>#REF!</v>
      </c>
      <c r="C49" s="113">
        <v>1</v>
      </c>
      <c r="D49" s="114" t="e">
        <f t="shared" si="1"/>
        <v>#REF!</v>
      </c>
      <c r="E49" s="123">
        <v>4.0000000000000001E-3</v>
      </c>
      <c r="F49" s="133">
        <v>4.0000000000000001E-3</v>
      </c>
      <c r="G49" s="134" t="s">
        <v>441</v>
      </c>
      <c r="H49" s="152" t="e">
        <f>B49*$B$8*($B$3+F49)/365</f>
        <v>#REF!</v>
      </c>
      <c r="I49" s="144"/>
      <c r="J49" s="144"/>
      <c r="K49" s="115"/>
      <c r="L49" s="144"/>
      <c r="R49" s="65"/>
    </row>
    <row r="50" spans="1:18" ht="13.5" thickBot="1">
      <c r="A50" s="124"/>
      <c r="B50" s="145"/>
      <c r="C50" s="146"/>
      <c r="D50" s="145"/>
      <c r="E50" s="147"/>
      <c r="F50" s="147"/>
      <c r="G50" s="134" t="s">
        <v>535</v>
      </c>
      <c r="H50" s="148" t="e">
        <f>SUM(H33:H49)</f>
        <v>#REF!</v>
      </c>
      <c r="I50" s="144"/>
      <c r="J50" s="144"/>
      <c r="K50" s="144"/>
      <c r="L50" s="144"/>
    </row>
    <row r="51" spans="1:18">
      <c r="H51" s="119" t="s">
        <v>528</v>
      </c>
      <c r="I51" s="120"/>
      <c r="J51" s="120"/>
      <c r="K51" s="120" t="e">
        <f>SUM(K33:K50)</f>
        <v>#REF!</v>
      </c>
      <c r="L51" s="120"/>
    </row>
    <row r="52" spans="1:18">
      <c r="A52" s="127"/>
      <c r="B52" s="128"/>
      <c r="C52" s="129"/>
      <c r="D52" s="128"/>
      <c r="E52" s="130"/>
      <c r="F52" s="131"/>
      <c r="G52" s="131"/>
      <c r="H52" s="124"/>
    </row>
    <row r="53" spans="1:18">
      <c r="A53" s="127"/>
      <c r="B53" s="128"/>
      <c r="C53" s="129"/>
      <c r="D53" s="128"/>
      <c r="E53" s="130"/>
      <c r="F53" s="131"/>
      <c r="G53" s="131"/>
      <c r="H53" s="124"/>
    </row>
    <row r="54" spans="1:18">
      <c r="A54" s="127"/>
      <c r="B54" s="128"/>
      <c r="C54" s="129"/>
      <c r="D54" s="128"/>
      <c r="E54" s="130"/>
      <c r="F54" s="131"/>
      <c r="G54" s="131"/>
      <c r="H54" s="124"/>
    </row>
    <row r="55" spans="1:18">
      <c r="A55" s="127"/>
      <c r="B55" s="128"/>
      <c r="C55" s="129"/>
      <c r="D55" s="128"/>
      <c r="E55" s="130"/>
      <c r="F55" s="131"/>
      <c r="G55" s="131"/>
      <c r="H55" s="124"/>
    </row>
    <row r="56" spans="1:18">
      <c r="A56" s="124"/>
      <c r="B56" s="124"/>
      <c r="C56" s="124"/>
      <c r="D56" s="132"/>
      <c r="E56" s="124"/>
      <c r="F56" s="124"/>
      <c r="G56" s="124"/>
      <c r="H56" s="124"/>
    </row>
    <row r="57" spans="1:18">
      <c r="A57" s="127"/>
      <c r="B57" s="128"/>
      <c r="C57" s="129"/>
      <c r="D57" s="128"/>
      <c r="E57" s="130"/>
      <c r="F57" s="131"/>
      <c r="G57" s="131"/>
      <c r="H57" s="124"/>
    </row>
    <row r="58" spans="1:18">
      <c r="A58" s="127"/>
      <c r="B58" s="128"/>
      <c r="C58" s="129"/>
      <c r="D58" s="128"/>
      <c r="E58" s="130"/>
      <c r="F58" s="131"/>
      <c r="G58" s="131"/>
      <c r="H58" s="124"/>
    </row>
    <row r="59" spans="1:18">
      <c r="A59" s="124"/>
      <c r="B59" s="124"/>
      <c r="C59" s="124"/>
      <c r="D59" s="124"/>
      <c r="E59" s="124"/>
      <c r="F59" s="124"/>
      <c r="G59" s="124"/>
      <c r="H59" s="124"/>
    </row>
    <row r="60" spans="1:18">
      <c r="A60" s="124"/>
      <c r="B60" s="124"/>
      <c r="C60" s="124"/>
      <c r="D60" s="124"/>
      <c r="E60" s="124"/>
      <c r="F60" s="124"/>
      <c r="G60" s="124"/>
      <c r="H60" s="124"/>
    </row>
    <row r="61" spans="1:18">
      <c r="A61" s="124"/>
      <c r="B61" s="124"/>
      <c r="C61" s="124"/>
      <c r="D61" s="124"/>
      <c r="E61" s="124"/>
      <c r="F61" s="124"/>
      <c r="G61" s="124"/>
      <c r="H61" s="124"/>
    </row>
    <row r="62" spans="1:18">
      <c r="A62" s="124"/>
      <c r="B62" s="124"/>
      <c r="C62" s="124"/>
      <c r="D62" s="124"/>
      <c r="E62" s="124"/>
      <c r="F62" s="124"/>
      <c r="G62" s="124"/>
      <c r="H62" s="124"/>
    </row>
  </sheetData>
  <phoneticPr fontId="3" type="noConversion"/>
  <pageMargins left="0.75" right="0.75" top="1" bottom="1" header="0.5" footer="0.5"/>
  <pageSetup paperSize="9" scale="64" orientation="landscape" r:id="rId2"/>
  <headerFooter alignWithMargins="0"/>
</worksheet>
</file>

<file path=xl/worksheets/sheet7.xml><?xml version="1.0" encoding="utf-8"?>
<worksheet xmlns="http://schemas.openxmlformats.org/spreadsheetml/2006/main" xmlns:r="http://schemas.openxmlformats.org/officeDocument/2006/relationships">
  <sheetPr codeName="Sheet17"/>
  <dimension ref="A1:H125"/>
  <sheetViews>
    <sheetView workbookViewId="0">
      <selection activeCell="B18" sqref="B18"/>
    </sheetView>
  </sheetViews>
  <sheetFormatPr defaultRowHeight="12.75"/>
  <cols>
    <col min="1" max="1" width="62.42578125" style="2" customWidth="1"/>
    <col min="2" max="2" width="17.7109375" style="2" customWidth="1"/>
    <col min="3" max="4" width="11.140625" style="2" customWidth="1"/>
    <col min="5" max="6" width="13.7109375" style="2" customWidth="1"/>
    <col min="7" max="16384" width="9.140625" style="2"/>
  </cols>
  <sheetData>
    <row r="1" spans="1:6">
      <c r="A1" s="1" t="s">
        <v>445</v>
      </c>
    </row>
    <row r="2" spans="1:6" ht="13.5" thickBot="1"/>
    <row r="3" spans="1:6" ht="13.5" thickBot="1">
      <c r="A3" s="3" t="s">
        <v>455</v>
      </c>
      <c r="B3" s="28" t="e">
        <f>+IF((AND(AND(B9,B15,C15,B26,B33,B43,B58,B63,B72,B77="pass"),AND(B36,B38,B45,B47,B49,B66,B68,B79,B81="true"))),"pass","fail")</f>
        <v>#REF!</v>
      </c>
      <c r="E3" s="31" t="s">
        <v>788</v>
      </c>
    </row>
    <row r="4" spans="1:6">
      <c r="E4" s="4" t="s">
        <v>446</v>
      </c>
    </row>
    <row r="5" spans="1:6">
      <c r="A5" s="1" t="s">
        <v>448</v>
      </c>
    </row>
    <row r="6" spans="1:6">
      <c r="A6" s="2" t="s">
        <v>835</v>
      </c>
      <c r="B6" s="21">
        <v>1</v>
      </c>
      <c r="E6" s="2" t="s">
        <v>246</v>
      </c>
    </row>
    <row r="7" spans="1:6">
      <c r="A7" s="2" t="s">
        <v>1034</v>
      </c>
      <c r="B7" s="21">
        <v>100</v>
      </c>
    </row>
    <row r="8" spans="1:6">
      <c r="A8" s="5" t="s">
        <v>447</v>
      </c>
      <c r="B8" s="22">
        <f>+B6/B7</f>
        <v>0.01</v>
      </c>
    </row>
    <row r="9" spans="1:6">
      <c r="A9" s="27" t="s">
        <v>456</v>
      </c>
      <c r="B9" s="23" t="str">
        <f>+IF(B8&gt;2%,"FAIL","PASS")</f>
        <v>PASS</v>
      </c>
    </row>
    <row r="11" spans="1:6">
      <c r="A11" s="1" t="s">
        <v>457</v>
      </c>
      <c r="F11" s="2">
        <f>+IF(B9="pass",1,2)</f>
        <v>1</v>
      </c>
    </row>
    <row r="12" spans="1:6">
      <c r="A12" s="9" t="s">
        <v>461</v>
      </c>
      <c r="B12" s="7" t="s">
        <v>444</v>
      </c>
      <c r="C12" s="7" t="s">
        <v>443</v>
      </c>
      <c r="D12" s="7"/>
    </row>
    <row r="13" spans="1:6">
      <c r="A13" s="9" t="s">
        <v>449</v>
      </c>
      <c r="B13" s="9" t="s">
        <v>450</v>
      </c>
      <c r="C13" s="9" t="s">
        <v>451</v>
      </c>
      <c r="D13" s="9"/>
    </row>
    <row r="14" spans="1:6">
      <c r="A14" s="9" t="s">
        <v>454</v>
      </c>
      <c r="B14" s="11" t="s">
        <v>452</v>
      </c>
      <c r="C14" s="11" t="s">
        <v>453</v>
      </c>
      <c r="D14" s="11"/>
    </row>
    <row r="15" spans="1:6">
      <c r="A15" s="27" t="s">
        <v>456</v>
      </c>
      <c r="B15" s="11" t="s">
        <v>836</v>
      </c>
      <c r="C15" s="11" t="s">
        <v>836</v>
      </c>
      <c r="D15" s="11"/>
    </row>
    <row r="16" spans="1:6" hidden="1">
      <c r="A16" s="8" t="s">
        <v>462</v>
      </c>
      <c r="B16" s="11"/>
      <c r="C16" s="12"/>
      <c r="D16" s="11"/>
    </row>
    <row r="17" spans="1:5" hidden="1">
      <c r="A17" s="8" t="str">
        <f>+IF(OR(B15="FAIL",C15="FAIL"),"Solvency Certificate Provided to Mortgage Trustee and Funding Security Trustee?","No Solvency Certificate Required")</f>
        <v>No Solvency Certificate Required</v>
      </c>
      <c r="B17" s="9"/>
      <c r="C17" s="10"/>
      <c r="D17" s="9"/>
    </row>
    <row r="18" spans="1:5" hidden="1">
      <c r="A18" s="13" t="str">
        <f>+IF(OR(B15="FAIL",C15="FAIL"),"Answer (Yes/No)","")</f>
        <v/>
      </c>
      <c r="B18" s="14"/>
      <c r="C18" s="15"/>
      <c r="D18" s="9"/>
    </row>
    <row r="19" spans="1:5" hidden="1"/>
    <row r="20" spans="1:5">
      <c r="A20" s="2" t="s">
        <v>456</v>
      </c>
      <c r="B20" s="2" t="str">
        <f>+IF(OR(AND(B15="pass",C15="pass"),B18="yes"),"PASS","FAIL")</f>
        <v>PASS</v>
      </c>
    </row>
    <row r="22" spans="1:5">
      <c r="A22" s="1" t="s">
        <v>458</v>
      </c>
    </row>
    <row r="23" spans="1:5">
      <c r="A23" s="2" t="s">
        <v>463</v>
      </c>
      <c r="B23" s="2" t="s">
        <v>442</v>
      </c>
    </row>
    <row r="24" spans="1:5">
      <c r="A24" s="2" t="s">
        <v>449</v>
      </c>
      <c r="B24" s="2" t="s">
        <v>459</v>
      </c>
    </row>
    <row r="25" spans="1:5">
      <c r="A25" s="2" t="s">
        <v>454</v>
      </c>
      <c r="B25" s="16" t="s">
        <v>460</v>
      </c>
    </row>
    <row r="26" spans="1:5">
      <c r="A26" s="27" t="s">
        <v>456</v>
      </c>
      <c r="B26" s="16" t="s">
        <v>836</v>
      </c>
    </row>
    <row r="27" spans="1:5" hidden="1">
      <c r="A27" s="2" t="s">
        <v>462</v>
      </c>
      <c r="B27" s="2" t="s">
        <v>465</v>
      </c>
    </row>
    <row r="29" spans="1:5">
      <c r="A29" s="1" t="s">
        <v>466</v>
      </c>
    </row>
    <row r="30" spans="1:5">
      <c r="A30" s="2" t="s">
        <v>923</v>
      </c>
      <c r="B30" s="24">
        <v>2</v>
      </c>
      <c r="E30" s="2" t="s">
        <v>246</v>
      </c>
    </row>
    <row r="31" spans="1:5">
      <c r="A31" s="2" t="s">
        <v>467</v>
      </c>
      <c r="B31" s="24">
        <v>100</v>
      </c>
    </row>
    <row r="32" spans="1:5">
      <c r="A32" s="5" t="s">
        <v>922</v>
      </c>
      <c r="B32" s="22">
        <f>+B30/B31</f>
        <v>0.02</v>
      </c>
    </row>
    <row r="33" spans="1:8">
      <c r="A33" s="27" t="s">
        <v>456</v>
      </c>
      <c r="B33" s="23" t="str">
        <f>+IF(B32&gt;=4%,"FAIL","PASS")</f>
        <v>PASS</v>
      </c>
    </row>
    <row r="34" spans="1:8">
      <c r="B34" s="23"/>
    </row>
    <row r="35" spans="1:8">
      <c r="B35" s="17"/>
    </row>
    <row r="36" spans="1:8" ht="25.5">
      <c r="A36" s="26" t="s">
        <v>924</v>
      </c>
      <c r="B36" s="23" t="b">
        <v>1</v>
      </c>
    </row>
    <row r="37" spans="1:8">
      <c r="A37" s="26"/>
      <c r="B37" s="23"/>
    </row>
    <row r="38" spans="1:8" ht="38.25">
      <c r="A38" s="26" t="s">
        <v>833</v>
      </c>
      <c r="B38" s="23" t="b">
        <v>1</v>
      </c>
    </row>
    <row r="39" spans="1:8">
      <c r="A39" s="26"/>
      <c r="B39" s="23"/>
    </row>
    <row r="40" spans="1:8">
      <c r="A40" s="1" t="s">
        <v>464</v>
      </c>
      <c r="B40" s="23"/>
    </row>
    <row r="41" spans="1:8">
      <c r="A41" s="2" t="s">
        <v>247</v>
      </c>
      <c r="B41" s="29" t="e">
        <f>15%*#REF!</f>
        <v>#REF!</v>
      </c>
    </row>
    <row r="42" spans="1:8">
      <c r="A42" s="2" t="s">
        <v>248</v>
      </c>
      <c r="B42" s="29">
        <v>1000000000</v>
      </c>
    </row>
    <row r="43" spans="1:8">
      <c r="A43" s="27" t="s">
        <v>456</v>
      </c>
      <c r="B43" s="23" t="e">
        <f>+IF(B41&gt;=B42,"PASS","FAIL")</f>
        <v>#REF!</v>
      </c>
      <c r="H43" s="18"/>
    </row>
    <row r="44" spans="1:8">
      <c r="B44" s="17"/>
      <c r="H44" s="18"/>
    </row>
    <row r="45" spans="1:8" s="19" customFormat="1" ht="25.5">
      <c r="A45" s="26" t="s">
        <v>280</v>
      </c>
      <c r="B45" s="20" t="b">
        <v>1</v>
      </c>
    </row>
    <row r="46" spans="1:8" s="19" customFormat="1">
      <c r="A46" s="26"/>
      <c r="B46" s="20"/>
    </row>
    <row r="47" spans="1:8" ht="25.5">
      <c r="A47" s="1" t="s">
        <v>834</v>
      </c>
      <c r="B47" s="20" t="b">
        <v>1</v>
      </c>
      <c r="E47" s="19" t="s">
        <v>786</v>
      </c>
      <c r="F47" s="19" t="s">
        <v>787</v>
      </c>
    </row>
    <row r="48" spans="1:8">
      <c r="A48" s="1"/>
      <c r="B48" s="20"/>
    </row>
    <row r="49" spans="1:5">
      <c r="A49" s="1" t="s">
        <v>925</v>
      </c>
      <c r="B49" s="20" t="b">
        <v>1</v>
      </c>
    </row>
    <row r="50" spans="1:5">
      <c r="A50" s="1"/>
      <c r="B50" s="20"/>
    </row>
    <row r="51" spans="1:5">
      <c r="A51" s="1" t="s">
        <v>368</v>
      </c>
      <c r="B51" s="23"/>
    </row>
    <row r="52" spans="1:5">
      <c r="A52" s="4" t="s">
        <v>837</v>
      </c>
      <c r="B52" s="23"/>
    </row>
    <row r="53" spans="1:5">
      <c r="A53" s="4" t="s">
        <v>974</v>
      </c>
      <c r="B53" s="23"/>
    </row>
    <row r="54" spans="1:5" ht="13.5" thickBot="1">
      <c r="A54" s="5" t="s">
        <v>975</v>
      </c>
      <c r="B54" s="25">
        <f>+B52*B53</f>
        <v>0</v>
      </c>
    </row>
    <row r="55" spans="1:5" ht="13.5" thickTop="1">
      <c r="A55" s="4" t="s">
        <v>366</v>
      </c>
      <c r="B55" s="23"/>
    </row>
    <row r="56" spans="1:5">
      <c r="A56" s="4" t="s">
        <v>926</v>
      </c>
      <c r="B56" s="23"/>
    </row>
    <row r="57" spans="1:5" ht="13.5" thickBot="1">
      <c r="A57" s="5" t="s">
        <v>367</v>
      </c>
      <c r="B57" s="25">
        <f>+B55*B56</f>
        <v>0</v>
      </c>
    </row>
    <row r="58" spans="1:5" ht="13.5" thickTop="1">
      <c r="A58" s="5" t="s">
        <v>987</v>
      </c>
      <c r="B58" s="23" t="str">
        <f>+IF(B57-B54&gt;0.25%,"FAIL","PASS")</f>
        <v>PASS</v>
      </c>
    </row>
    <row r="59" spans="1:5">
      <c r="A59" s="5"/>
      <c r="B59" s="23"/>
    </row>
    <row r="60" spans="1:5">
      <c r="A60" s="1" t="s">
        <v>976</v>
      </c>
      <c r="B60" s="23"/>
    </row>
    <row r="61" spans="1:5">
      <c r="A61" s="2" t="s">
        <v>750</v>
      </c>
      <c r="B61" s="23"/>
    </row>
    <row r="62" spans="1:5">
      <c r="A62" s="2" t="s">
        <v>1022</v>
      </c>
      <c r="B62" s="23"/>
      <c r="E62" s="2" t="s">
        <v>1023</v>
      </c>
    </row>
    <row r="63" spans="1:5">
      <c r="A63" s="5" t="s">
        <v>782</v>
      </c>
      <c r="B63" s="23" t="str">
        <f>+IF(B62&gt;B61+0.3%,"FAIL","PASS")</f>
        <v>PASS</v>
      </c>
    </row>
    <row r="64" spans="1:5">
      <c r="A64" s="5"/>
      <c r="B64" s="23"/>
    </row>
    <row r="65" spans="1:5">
      <c r="A65" s="1" t="s">
        <v>1024</v>
      </c>
      <c r="B65" s="23"/>
    </row>
    <row r="66" spans="1:5">
      <c r="A66" s="2" t="s">
        <v>980</v>
      </c>
      <c r="B66" s="23" t="b">
        <v>1</v>
      </c>
    </row>
    <row r="67" spans="1:5">
      <c r="B67" s="23"/>
    </row>
    <row r="68" spans="1:5">
      <c r="A68" s="1" t="s">
        <v>981</v>
      </c>
      <c r="B68" s="23" t="b">
        <v>1</v>
      </c>
    </row>
    <row r="69" spans="1:5">
      <c r="A69" s="6"/>
      <c r="B69" s="23"/>
    </row>
    <row r="70" spans="1:5">
      <c r="A70" s="1" t="s">
        <v>1025</v>
      </c>
      <c r="B70" s="23"/>
    </row>
    <row r="71" spans="1:5">
      <c r="A71" s="2" t="s">
        <v>982</v>
      </c>
      <c r="B71" s="30">
        <v>5.0000000000000001E-3</v>
      </c>
      <c r="E71" s="2" t="s">
        <v>1026</v>
      </c>
    </row>
    <row r="72" spans="1:5">
      <c r="A72" s="5" t="s">
        <v>784</v>
      </c>
      <c r="B72" s="23" t="str">
        <f>+IF(B71&gt;=0.4%,"PASS","FAIL")</f>
        <v>PASS</v>
      </c>
      <c r="E72" s="2" t="s">
        <v>1031</v>
      </c>
    </row>
    <row r="73" spans="1:5">
      <c r="A73" s="5"/>
      <c r="B73" s="23"/>
      <c r="E73" s="2" t="s">
        <v>1032</v>
      </c>
    </row>
    <row r="74" spans="1:5">
      <c r="A74" s="1" t="s">
        <v>983</v>
      </c>
      <c r="B74" s="23"/>
      <c r="E74" s="2" t="s">
        <v>1033</v>
      </c>
    </row>
    <row r="75" spans="1:5">
      <c r="A75" s="2" t="s">
        <v>984</v>
      </c>
      <c r="B75" s="23"/>
    </row>
    <row r="76" spans="1:5">
      <c r="A76" s="2" t="s">
        <v>985</v>
      </c>
      <c r="B76" s="23"/>
    </row>
    <row r="77" spans="1:5">
      <c r="A77" s="5" t="s">
        <v>783</v>
      </c>
      <c r="B77" s="23" t="str">
        <f>+IF(B76&gt;=(B75+0.25%),"FAIL","PASS")</f>
        <v>PASS</v>
      </c>
      <c r="C77" s="4"/>
      <c r="D77" s="4"/>
    </row>
    <row r="78" spans="1:5">
      <c r="B78" s="23"/>
      <c r="C78" s="4"/>
      <c r="D78" s="4"/>
    </row>
    <row r="79" spans="1:5" ht="25.5" customHeight="1">
      <c r="A79" s="26" t="s">
        <v>785</v>
      </c>
      <c r="B79" s="23" t="b">
        <v>1</v>
      </c>
      <c r="C79" s="4"/>
      <c r="D79" s="4"/>
    </row>
    <row r="80" spans="1:5">
      <c r="B80" s="23"/>
    </row>
    <row r="81" spans="1:2">
      <c r="A81" s="1" t="s">
        <v>986</v>
      </c>
      <c r="B81" s="23" t="b">
        <v>1</v>
      </c>
    </row>
    <row r="82" spans="1:2">
      <c r="B82" s="23"/>
    </row>
    <row r="83" spans="1:2">
      <c r="B83" s="23"/>
    </row>
    <row r="84" spans="1:2">
      <c r="B84" s="23"/>
    </row>
    <row r="85" spans="1:2">
      <c r="B85" s="23"/>
    </row>
    <row r="86" spans="1:2">
      <c r="B86" s="23"/>
    </row>
    <row r="87" spans="1:2">
      <c r="B87" s="23"/>
    </row>
    <row r="88" spans="1:2">
      <c r="B88" s="23"/>
    </row>
    <row r="89" spans="1:2">
      <c r="B89" s="23"/>
    </row>
    <row r="90" spans="1:2">
      <c r="B90" s="23"/>
    </row>
    <row r="91" spans="1:2">
      <c r="B91" s="23"/>
    </row>
    <row r="92" spans="1:2">
      <c r="B92" s="23"/>
    </row>
    <row r="93" spans="1:2">
      <c r="B93" s="23"/>
    </row>
    <row r="94" spans="1:2">
      <c r="B94" s="23"/>
    </row>
    <row r="95" spans="1:2">
      <c r="B95" s="23"/>
    </row>
    <row r="96" spans="1:2">
      <c r="B96" s="23"/>
    </row>
    <row r="97" spans="2:2">
      <c r="B97" s="23"/>
    </row>
    <row r="98" spans="2:2">
      <c r="B98" s="23"/>
    </row>
    <row r="99" spans="2:2">
      <c r="B99" s="23"/>
    </row>
    <row r="100" spans="2:2">
      <c r="B100" s="23"/>
    </row>
    <row r="101" spans="2:2">
      <c r="B101" s="23"/>
    </row>
    <row r="102" spans="2:2">
      <c r="B102" s="23"/>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23"/>
    </row>
    <row r="114" spans="2:2">
      <c r="B114" s="23"/>
    </row>
    <row r="115" spans="2:2">
      <c r="B115" s="23"/>
    </row>
    <row r="116" spans="2:2">
      <c r="B116" s="23"/>
    </row>
    <row r="117" spans="2:2">
      <c r="B117" s="23"/>
    </row>
    <row r="118" spans="2:2">
      <c r="B118" s="23"/>
    </row>
    <row r="119" spans="2:2">
      <c r="B119" s="23"/>
    </row>
    <row r="120" spans="2:2">
      <c r="B120" s="23"/>
    </row>
    <row r="121" spans="2:2">
      <c r="B121" s="23"/>
    </row>
    <row r="122" spans="2:2">
      <c r="B122" s="23"/>
    </row>
    <row r="123" spans="2:2">
      <c r="B123" s="23"/>
    </row>
    <row r="124" spans="2:2">
      <c r="B124" s="23"/>
    </row>
    <row r="125" spans="2:2">
      <c r="B125" s="23"/>
    </row>
  </sheetData>
  <phoneticPr fontId="3"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Quarterly Report</vt:lpstr>
      <vt:lpstr>GMF MONTHLY INVESTOR REPORT</vt:lpstr>
      <vt:lpstr>May 12 Bonds to be called</vt:lpstr>
      <vt:lpstr>GMF 09 GBP Amortisation</vt:lpstr>
      <vt:lpstr>Notices</vt:lpstr>
      <vt:lpstr>Recon</vt:lpstr>
      <vt:lpstr>New Loans Additions</vt:lpstr>
      <vt:lpstr>GMF09_Prin_due</vt:lpstr>
      <vt:lpstr>'GMF MONTHLY INVESTOR REPORT'!Print_Area</vt:lpstr>
      <vt:lpstr>'May 12 Bonds to be called'!Print_Area</vt:lpstr>
      <vt:lpstr>'Quarterly Report'!Print_Area</vt:lpstr>
      <vt:lpstr>Recon!Print_Area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2013-03-04T08:55:59Z</cp:lastPrinted>
  <dcterms:created xsi:type="dcterms:W3CDTF">2006-11-09T17:08:15Z</dcterms:created>
  <dcterms:modified xsi:type="dcterms:W3CDTF">2013-03-05T09:56:38Z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